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omments2.xml" ContentType="application/vnd.openxmlformats-officedocument.spreadsheetml.comments+xml"/>
  <Override PartName="/xl/drawings/drawing3.xml" ContentType="application/vnd.openxmlformats-officedocument.drawing+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ny-spfweb/sites/programs/habitat_exchange_documents/South East/Communications/EDF.org NC Mit Policy Page/"/>
    </mc:Choice>
  </mc:AlternateContent>
  <bookViews>
    <workbookView xWindow="0" yWindow="0" windowWidth="19200" windowHeight="11295" activeTab="3"/>
  </bookViews>
  <sheets>
    <sheet name="Project Assessment" sheetId="10" r:id="rId1"/>
    <sheet name="Catchment Assessment" sheetId="11" r:id="rId2"/>
    <sheet name="Parameter Selection Guide" sheetId="12" r:id="rId3"/>
    <sheet name="Quantification Tool" sheetId="2" r:id="rId4"/>
    <sheet name="Functional Loss Tool" sheetId="15" r:id="rId5"/>
    <sheet name="Performance Standards" sheetId="1" r:id="rId6"/>
    <sheet name="Monitoring Data" sheetId="13" r:id="rId7"/>
    <sheet name="Data Summary" sheetId="14" r:id="rId8"/>
    <sheet name="Pull Down Notes" sheetId="3" state="hidden" r:id="rId9"/>
  </sheets>
  <definedNames>
    <definedName name="BedMaterial">'Pull Down Notes'!$B$15:$B$17</definedName>
    <definedName name="BedType">'Pull Down Notes'!#REF!</definedName>
    <definedName name="BEHI.NBS">'Pull Down Notes'!$B$25:$B$55</definedName>
    <definedName name="CatchmentAssessment">'Pull Down Notes'!$B$102:$B$104</definedName>
    <definedName name="CatchmentAssessmentQuat">'Pull Down Notes'!#REF!</definedName>
    <definedName name="DrainageArea">'Pull Down Notes'!$B$12:$B$13</definedName>
    <definedName name="Flow.Type">'Pull Down Notes'!$B$19:$B$22</definedName>
    <definedName name="Level">'Pull Down Notes'!$B$56:$B$59</definedName>
    <definedName name="_xlnm.Print_Area" localSheetId="4">'Functional Loss Tool'!$A$1:$E$24</definedName>
    <definedName name="_xlnm.Print_Area" localSheetId="6">'Monitoring Data'!$A$1:$K$417</definedName>
    <definedName name="_xlnm.Print_Area" localSheetId="0">'Project Assessment'!$A$1:$X$33</definedName>
    <definedName name="_xlnm.Print_Area" localSheetId="3">'Quantification Tool'!$A$1:$K$193</definedName>
    <definedName name="ProgramGoals">'Pull Down Notes'!$B$71:$B$75</definedName>
    <definedName name="Region">'Pull Down Notes'!$B$61:$B$64</definedName>
    <definedName name="RiverBasins">'Pull Down Notes'!$B$77:$B$94</definedName>
    <definedName name="StreamType">'Pull Down Notes'!$B$1:$B$9</definedName>
    <definedName name="WaterTypes">'Pull Down Notes'!$B$96:$B$99</definedName>
    <definedName name="Yes.No">'Pull Down Notes'!$B$67:$B$68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0" i="13" l="1"/>
  <c r="F397" i="13" l="1"/>
  <c r="F396" i="13"/>
  <c r="F359" i="13"/>
  <c r="F358" i="13"/>
  <c r="F321" i="13"/>
  <c r="F320" i="13"/>
  <c r="F283" i="13"/>
  <c r="F282" i="13"/>
  <c r="F245" i="13"/>
  <c r="F244" i="13"/>
  <c r="F207" i="13"/>
  <c r="F206" i="13"/>
  <c r="F169" i="13"/>
  <c r="F168" i="13"/>
  <c r="F131" i="13"/>
  <c r="F130" i="13"/>
  <c r="F93" i="13"/>
  <c r="F92" i="13"/>
  <c r="F55" i="13"/>
  <c r="F54" i="13"/>
  <c r="F17" i="13"/>
  <c r="F16" i="13"/>
  <c r="F401" i="13"/>
  <c r="F400" i="13"/>
  <c r="F363" i="13"/>
  <c r="F362" i="13"/>
  <c r="F325" i="13"/>
  <c r="F324" i="13"/>
  <c r="F287" i="13"/>
  <c r="F286" i="13"/>
  <c r="F249" i="13"/>
  <c r="F248" i="13"/>
  <c r="F211" i="13"/>
  <c r="F210" i="13"/>
  <c r="F173" i="13"/>
  <c r="F172" i="13"/>
  <c r="F135" i="13"/>
  <c r="F134" i="13"/>
  <c r="F97" i="13"/>
  <c r="F96" i="13"/>
  <c r="F59" i="13"/>
  <c r="F58" i="13"/>
  <c r="F21" i="13"/>
  <c r="F20" i="13"/>
  <c r="F100" i="2"/>
  <c r="F99" i="2"/>
  <c r="F62" i="2"/>
  <c r="F61" i="2"/>
  <c r="F24" i="13" l="1"/>
  <c r="F62" i="13"/>
  <c r="F100" i="13"/>
  <c r="F138" i="13"/>
  <c r="F176" i="13"/>
  <c r="F214" i="13"/>
  <c r="F290" i="13"/>
  <c r="F328" i="13"/>
  <c r="F366" i="13"/>
  <c r="F404" i="13"/>
  <c r="F252" i="13"/>
  <c r="F103" i="2"/>
  <c r="F65" i="2"/>
  <c r="D185" i="2"/>
  <c r="D178" i="2"/>
  <c r="D159" i="2"/>
  <c r="D152" i="2"/>
  <c r="D134" i="2"/>
  <c r="D127" i="2"/>
  <c r="F416" i="13"/>
  <c r="F378" i="13"/>
  <c r="F340" i="13"/>
  <c r="F302" i="13"/>
  <c r="F264" i="13"/>
  <c r="F226" i="13"/>
  <c r="F188" i="13"/>
  <c r="F150" i="13"/>
  <c r="F112" i="13"/>
  <c r="F74" i="13"/>
  <c r="F36" i="13"/>
  <c r="F115" i="2"/>
  <c r="F77" i="2"/>
  <c r="F407" i="13" l="1"/>
  <c r="F369" i="13"/>
  <c r="F331" i="13"/>
  <c r="F293" i="13"/>
  <c r="F255" i="13"/>
  <c r="F217" i="13"/>
  <c r="F179" i="13"/>
  <c r="F141" i="13"/>
  <c r="F103" i="13"/>
  <c r="F65" i="13"/>
  <c r="F28" i="13"/>
  <c r="F27" i="13"/>
  <c r="F106" i="2"/>
  <c r="F68" i="2"/>
  <c r="E17" i="15" l="1"/>
  <c r="E16" i="15"/>
  <c r="A14" i="15"/>
  <c r="E18" i="15" l="1"/>
  <c r="F386" i="13" l="1"/>
  <c r="F348" i="13"/>
  <c r="F310" i="13"/>
  <c r="F272" i="13"/>
  <c r="F234" i="13"/>
  <c r="F196" i="13"/>
  <c r="F158" i="13"/>
  <c r="F120" i="13"/>
  <c r="F82" i="13"/>
  <c r="F44" i="13"/>
  <c r="F6" i="13"/>
  <c r="F85" i="2"/>
  <c r="F47" i="2"/>
  <c r="F390" i="13" l="1"/>
  <c r="F389" i="13"/>
  <c r="F352" i="13"/>
  <c r="F351" i="13"/>
  <c r="F314" i="13"/>
  <c r="F313" i="13"/>
  <c r="F276" i="13"/>
  <c r="F275" i="13"/>
  <c r="F238" i="13"/>
  <c r="F237" i="13"/>
  <c r="F200" i="13"/>
  <c r="F199" i="13"/>
  <c r="F162" i="13"/>
  <c r="F161" i="13"/>
  <c r="F124" i="13"/>
  <c r="F123" i="13"/>
  <c r="F86" i="13"/>
  <c r="F85" i="13"/>
  <c r="F48" i="13"/>
  <c r="F47" i="13"/>
  <c r="F49" i="13"/>
  <c r="F50" i="13"/>
  <c r="F51" i="13"/>
  <c r="F52" i="13"/>
  <c r="F53" i="13"/>
  <c r="F56" i="13"/>
  <c r="F57" i="13"/>
  <c r="F60" i="13"/>
  <c r="F61" i="13"/>
  <c r="F63" i="13"/>
  <c r="F64" i="13"/>
  <c r="F10" i="13"/>
  <c r="F9" i="13"/>
  <c r="G313" i="13" l="1"/>
  <c r="G389" i="13"/>
  <c r="G351" i="13"/>
  <c r="G275" i="13"/>
  <c r="G237" i="13"/>
  <c r="G199" i="13"/>
  <c r="G161" i="13"/>
  <c r="G9" i="13"/>
  <c r="G123" i="13"/>
  <c r="G85" i="13"/>
  <c r="G47" i="13"/>
  <c r="F89" i="2"/>
  <c r="F51" i="2" l="1"/>
  <c r="F96" i="2" l="1"/>
  <c r="F95" i="2"/>
  <c r="F58" i="2"/>
  <c r="F57" i="2"/>
  <c r="F383" i="13" l="1"/>
  <c r="F345" i="13"/>
  <c r="F307" i="13"/>
  <c r="F269" i="13"/>
  <c r="F231" i="13"/>
  <c r="F193" i="13"/>
  <c r="F155" i="13"/>
  <c r="F156" i="13"/>
  <c r="F117" i="13"/>
  <c r="F79" i="13"/>
  <c r="F41" i="13"/>
  <c r="F3" i="13"/>
  <c r="F82" i="2"/>
  <c r="F44" i="2"/>
  <c r="B122" i="2" l="1"/>
  <c r="B147" i="2"/>
  <c r="B173" i="2"/>
  <c r="F67" i="2" l="1"/>
  <c r="F406" i="13" l="1"/>
  <c r="F368" i="13"/>
  <c r="F330" i="13"/>
  <c r="F292" i="13"/>
  <c r="F254" i="13"/>
  <c r="F216" i="13"/>
  <c r="F178" i="13"/>
  <c r="F140" i="13"/>
  <c r="F102" i="13"/>
  <c r="F26" i="13"/>
  <c r="F105" i="2"/>
  <c r="F25" i="13" l="1"/>
  <c r="F23" i="13"/>
  <c r="F101" i="13"/>
  <c r="F99" i="13"/>
  <c r="F139" i="13"/>
  <c r="F137" i="13"/>
  <c r="F177" i="13"/>
  <c r="F175" i="13"/>
  <c r="F215" i="13"/>
  <c r="F213" i="13"/>
  <c r="F253" i="13"/>
  <c r="F251" i="13"/>
  <c r="F291" i="13"/>
  <c r="F289" i="13"/>
  <c r="F329" i="13"/>
  <c r="F327" i="13"/>
  <c r="F367" i="13"/>
  <c r="F365" i="13"/>
  <c r="G23" i="13" l="1"/>
  <c r="G365" i="13"/>
  <c r="G327" i="13"/>
  <c r="G289" i="13"/>
  <c r="G251" i="13"/>
  <c r="G213" i="13"/>
  <c r="G175" i="13"/>
  <c r="G137" i="13"/>
  <c r="G99" i="13"/>
  <c r="G61" i="13"/>
  <c r="F48" i="2"/>
  <c r="F72" i="2"/>
  <c r="F402" i="13" l="1"/>
  <c r="F364" i="13"/>
  <c r="F326" i="13"/>
  <c r="F288" i="13"/>
  <c r="F250" i="13"/>
  <c r="F212" i="13"/>
  <c r="F174" i="13"/>
  <c r="F136" i="13"/>
  <c r="F98" i="13"/>
  <c r="F22" i="13"/>
  <c r="F101" i="2"/>
  <c r="F63" i="2"/>
  <c r="F113" i="2"/>
  <c r="F388" i="13" l="1"/>
  <c r="F350" i="13"/>
  <c r="F312" i="13"/>
  <c r="F274" i="13"/>
  <c r="F236" i="13"/>
  <c r="F198" i="13"/>
  <c r="F160" i="13"/>
  <c r="F122" i="13"/>
  <c r="F84" i="13"/>
  <c r="F46" i="13"/>
  <c r="F8" i="13"/>
  <c r="F87" i="2"/>
  <c r="F49" i="2"/>
  <c r="F88" i="2" l="1"/>
  <c r="G88" i="2" s="1"/>
  <c r="F50" i="2"/>
  <c r="G50" i="2" s="1"/>
  <c r="F4" i="14" l="1"/>
  <c r="G4" i="14"/>
  <c r="H4" i="14"/>
  <c r="I4" i="14"/>
  <c r="J4" i="14"/>
  <c r="O4" i="14"/>
  <c r="N4" i="14"/>
  <c r="M4" i="14"/>
  <c r="L4" i="14"/>
  <c r="K4" i="14"/>
  <c r="K25" i="14" s="1"/>
  <c r="L25" i="14" l="1"/>
  <c r="F25" i="14"/>
  <c r="O25" i="14"/>
  <c r="N25" i="14"/>
  <c r="M25" i="14"/>
  <c r="J25" i="14"/>
  <c r="I25" i="14"/>
  <c r="H25" i="14"/>
  <c r="G25" i="14"/>
  <c r="A36" i="14" l="1"/>
  <c r="F403" i="13" l="1"/>
  <c r="F102" i="2"/>
  <c r="F64" i="2"/>
  <c r="G416" i="13" l="1"/>
  <c r="O20" i="14" s="1"/>
  <c r="F415" i="13"/>
  <c r="F414" i="13"/>
  <c r="F413" i="13"/>
  <c r="G413" i="13" s="1"/>
  <c r="O18" i="14" s="1"/>
  <c r="F412" i="13"/>
  <c r="G412" i="13" s="1"/>
  <c r="O17" i="14" s="1"/>
  <c r="F411" i="13"/>
  <c r="F410" i="13"/>
  <c r="F409" i="13"/>
  <c r="G409" i="13" s="1"/>
  <c r="O15" i="14" s="1"/>
  <c r="F408" i="13"/>
  <c r="G408" i="13" s="1"/>
  <c r="G407" i="13"/>
  <c r="O13" i="14" s="1"/>
  <c r="F405" i="13"/>
  <c r="G402" i="13"/>
  <c r="O11" i="14" s="1"/>
  <c r="F399" i="13"/>
  <c r="F398" i="13"/>
  <c r="F395" i="13"/>
  <c r="F394" i="13"/>
  <c r="F393" i="13"/>
  <c r="F392" i="13"/>
  <c r="F391" i="13"/>
  <c r="O8" i="14"/>
  <c r="F387" i="13"/>
  <c r="F385" i="13"/>
  <c r="F384" i="13"/>
  <c r="G383" i="13"/>
  <c r="G378" i="13"/>
  <c r="N20" i="14" s="1"/>
  <c r="F377" i="13"/>
  <c r="F376" i="13"/>
  <c r="F375" i="13"/>
  <c r="G375" i="13" s="1"/>
  <c r="N18" i="14" s="1"/>
  <c r="F374" i="13"/>
  <c r="G374" i="13" s="1"/>
  <c r="N17" i="14" s="1"/>
  <c r="F373" i="13"/>
  <c r="F372" i="13"/>
  <c r="F371" i="13"/>
  <c r="G371" i="13" s="1"/>
  <c r="N15" i="14" s="1"/>
  <c r="G370" i="13"/>
  <c r="G369" i="13"/>
  <c r="N13" i="14" s="1"/>
  <c r="G364" i="13"/>
  <c r="N11" i="14" s="1"/>
  <c r="F361" i="13"/>
  <c r="F360" i="13"/>
  <c r="F357" i="13"/>
  <c r="F356" i="13"/>
  <c r="F355" i="13"/>
  <c r="F354" i="13"/>
  <c r="F353" i="13"/>
  <c r="N8" i="14"/>
  <c r="F349" i="13"/>
  <c r="F347" i="13"/>
  <c r="F346" i="13"/>
  <c r="G340" i="13"/>
  <c r="M20" i="14" s="1"/>
  <c r="F339" i="13"/>
  <c r="F338" i="13"/>
  <c r="F337" i="13"/>
  <c r="G337" i="13" s="1"/>
  <c r="M18" i="14" s="1"/>
  <c r="F336" i="13"/>
  <c r="G336" i="13" s="1"/>
  <c r="M17" i="14" s="1"/>
  <c r="F335" i="13"/>
  <c r="F334" i="13"/>
  <c r="F333" i="13"/>
  <c r="G333" i="13" s="1"/>
  <c r="M15" i="14" s="1"/>
  <c r="F332" i="13"/>
  <c r="G332" i="13" s="1"/>
  <c r="G331" i="13"/>
  <c r="M13" i="14" s="1"/>
  <c r="G326" i="13"/>
  <c r="M11" i="14" s="1"/>
  <c r="F323" i="13"/>
  <c r="F322" i="13"/>
  <c r="F319" i="13"/>
  <c r="F318" i="13"/>
  <c r="F317" i="13"/>
  <c r="F316" i="13"/>
  <c r="F315" i="13"/>
  <c r="F311" i="13"/>
  <c r="F309" i="13"/>
  <c r="F308" i="13"/>
  <c r="G302" i="13"/>
  <c r="L20" i="14" s="1"/>
  <c r="F301" i="13"/>
  <c r="F300" i="13"/>
  <c r="F299" i="13"/>
  <c r="G299" i="13" s="1"/>
  <c r="L18" i="14" s="1"/>
  <c r="F298" i="13"/>
  <c r="G298" i="13" s="1"/>
  <c r="L17" i="14" s="1"/>
  <c r="F297" i="13"/>
  <c r="F296" i="13"/>
  <c r="F295" i="13"/>
  <c r="G295" i="13" s="1"/>
  <c r="L15" i="14" s="1"/>
  <c r="F294" i="13"/>
  <c r="G294" i="13" s="1"/>
  <c r="G293" i="13"/>
  <c r="L13" i="14" s="1"/>
  <c r="G288" i="13"/>
  <c r="L11" i="14" s="1"/>
  <c r="F285" i="13"/>
  <c r="F284" i="13"/>
  <c r="F281" i="13"/>
  <c r="F280" i="13"/>
  <c r="F279" i="13"/>
  <c r="F278" i="13"/>
  <c r="F277" i="13"/>
  <c r="L8" i="14"/>
  <c r="F273" i="13"/>
  <c r="F271" i="13"/>
  <c r="F270" i="13"/>
  <c r="G269" i="13"/>
  <c r="F256" i="13"/>
  <c r="F218" i="13"/>
  <c r="F180" i="13"/>
  <c r="F142" i="13"/>
  <c r="F104" i="13"/>
  <c r="F66" i="13"/>
  <c r="F233" i="13"/>
  <c r="F232" i="13"/>
  <c r="F195" i="13"/>
  <c r="F194" i="13"/>
  <c r="F157" i="13"/>
  <c r="F119" i="13"/>
  <c r="F118" i="13"/>
  <c r="F81" i="13"/>
  <c r="F80" i="13"/>
  <c r="F43" i="13"/>
  <c r="F42" i="13"/>
  <c r="F5" i="13"/>
  <c r="F4" i="13"/>
  <c r="F84" i="2"/>
  <c r="F83" i="2"/>
  <c r="D177" i="2"/>
  <c r="D158" i="2"/>
  <c r="D151" i="2"/>
  <c r="D133" i="2"/>
  <c r="D126" i="2"/>
  <c r="F107" i="2"/>
  <c r="G403" i="13" l="1"/>
  <c r="O12" i="14" s="1"/>
  <c r="L14" i="14"/>
  <c r="N14" i="14"/>
  <c r="O14" i="14"/>
  <c r="O5" i="14"/>
  <c r="L5" i="14"/>
  <c r="M14" i="14"/>
  <c r="M8" i="14"/>
  <c r="G391" i="13"/>
  <c r="O9" i="14" s="1"/>
  <c r="G414" i="13"/>
  <c r="G387" i="13"/>
  <c r="G277" i="13"/>
  <c r="L9" i="14" s="1"/>
  <c r="G353" i="13"/>
  <c r="G394" i="13"/>
  <c r="G349" i="13"/>
  <c r="H349" i="13" s="1"/>
  <c r="G410" i="13"/>
  <c r="O16" i="14" s="1"/>
  <c r="G372" i="13"/>
  <c r="N16" i="14" s="1"/>
  <c r="G384" i="13"/>
  <c r="O6" i="14" s="1"/>
  <c r="G296" i="13"/>
  <c r="L16" i="14" s="1"/>
  <c r="G315" i="13"/>
  <c r="M9" i="14" s="1"/>
  <c r="G356" i="13"/>
  <c r="N10" i="14" s="1"/>
  <c r="L12" i="14"/>
  <c r="G334" i="13"/>
  <c r="M16" i="14" s="1"/>
  <c r="G346" i="13"/>
  <c r="N6" i="14" s="1"/>
  <c r="G300" i="13"/>
  <c r="H300" i="13" s="1"/>
  <c r="G311" i="13"/>
  <c r="H311" i="13" s="1"/>
  <c r="G376" i="13"/>
  <c r="H376" i="13" s="1"/>
  <c r="G318" i="13"/>
  <c r="M10" i="14" s="1"/>
  <c r="M12" i="14"/>
  <c r="G345" i="13"/>
  <c r="G308" i="13"/>
  <c r="M6" i="14" s="1"/>
  <c r="G338" i="13"/>
  <c r="H338" i="13" s="1"/>
  <c r="G280" i="13"/>
  <c r="G273" i="13"/>
  <c r="H273" i="13" s="1"/>
  <c r="G307" i="13"/>
  <c r="G270" i="13"/>
  <c r="L6" i="14" s="1"/>
  <c r="F69" i="2"/>
  <c r="F46" i="2"/>
  <c r="F45" i="2"/>
  <c r="H383" i="13" l="1"/>
  <c r="O26" i="14" s="1"/>
  <c r="H387" i="13"/>
  <c r="I387" i="13" s="1"/>
  <c r="H414" i="13"/>
  <c r="I414" i="13" s="1"/>
  <c r="H408" i="13"/>
  <c r="I408" i="13" s="1"/>
  <c r="H370" i="13"/>
  <c r="H269" i="13"/>
  <c r="I269" i="13" s="1"/>
  <c r="H294" i="13"/>
  <c r="I294" i="13" s="1"/>
  <c r="L10" i="14"/>
  <c r="H275" i="13"/>
  <c r="N9" i="14"/>
  <c r="H351" i="13"/>
  <c r="N28" i="14" s="1"/>
  <c r="N5" i="14"/>
  <c r="H345" i="13"/>
  <c r="H313" i="13"/>
  <c r="H332" i="13"/>
  <c r="M5" i="14"/>
  <c r="H307" i="13"/>
  <c r="O10" i="14"/>
  <c r="H389" i="13"/>
  <c r="G45" i="2"/>
  <c r="O19" i="14"/>
  <c r="O7" i="14"/>
  <c r="L7" i="14"/>
  <c r="N19" i="14"/>
  <c r="M19" i="14"/>
  <c r="L19" i="14"/>
  <c r="N7" i="14"/>
  <c r="M7" i="14"/>
  <c r="N12" i="14"/>
  <c r="G264" i="13"/>
  <c r="K20" i="14" s="1"/>
  <c r="F263" i="13"/>
  <c r="F262" i="13"/>
  <c r="F261" i="13"/>
  <c r="G261" i="13" s="1"/>
  <c r="K18" i="14" s="1"/>
  <c r="F260" i="13"/>
  <c r="G260" i="13" s="1"/>
  <c r="K17" i="14" s="1"/>
  <c r="F259" i="13"/>
  <c r="F258" i="13"/>
  <c r="F257" i="13"/>
  <c r="G257" i="13" s="1"/>
  <c r="K15" i="14" s="1"/>
  <c r="G256" i="13"/>
  <c r="G255" i="13"/>
  <c r="K13" i="14" s="1"/>
  <c r="G250" i="13"/>
  <c r="K11" i="14" s="1"/>
  <c r="F247" i="13"/>
  <c r="F246" i="13"/>
  <c r="F243" i="13"/>
  <c r="F242" i="13"/>
  <c r="F241" i="13"/>
  <c r="F240" i="13"/>
  <c r="F239" i="13"/>
  <c r="K8" i="14"/>
  <c r="F235" i="13"/>
  <c r="G226" i="13"/>
  <c r="J20" i="14" s="1"/>
  <c r="F225" i="13"/>
  <c r="F224" i="13"/>
  <c r="F223" i="13"/>
  <c r="G223" i="13" s="1"/>
  <c r="J18" i="14" s="1"/>
  <c r="F222" i="13"/>
  <c r="G222" i="13" s="1"/>
  <c r="J17" i="14" s="1"/>
  <c r="F221" i="13"/>
  <c r="F220" i="13"/>
  <c r="F219" i="13"/>
  <c r="G219" i="13" s="1"/>
  <c r="J15" i="14" s="1"/>
  <c r="G218" i="13"/>
  <c r="G217" i="13"/>
  <c r="J13" i="14" s="1"/>
  <c r="G212" i="13"/>
  <c r="J11" i="14" s="1"/>
  <c r="F209" i="13"/>
  <c r="F208" i="13"/>
  <c r="F205" i="13"/>
  <c r="F204" i="13"/>
  <c r="F203" i="13"/>
  <c r="F202" i="13"/>
  <c r="F201" i="13"/>
  <c r="J8" i="14"/>
  <c r="F197" i="13"/>
  <c r="G193" i="13"/>
  <c r="G188" i="13"/>
  <c r="I20" i="14" s="1"/>
  <c r="F187" i="13"/>
  <c r="F186" i="13"/>
  <c r="F185" i="13"/>
  <c r="G185" i="13" s="1"/>
  <c r="I18" i="14" s="1"/>
  <c r="F184" i="13"/>
  <c r="G184" i="13" s="1"/>
  <c r="I17" i="14" s="1"/>
  <c r="F183" i="13"/>
  <c r="F182" i="13"/>
  <c r="F181" i="13"/>
  <c r="G181" i="13" s="1"/>
  <c r="I15" i="14" s="1"/>
  <c r="G180" i="13"/>
  <c r="G179" i="13"/>
  <c r="I13" i="14" s="1"/>
  <c r="G174" i="13"/>
  <c r="I11" i="14" s="1"/>
  <c r="F171" i="13"/>
  <c r="F170" i="13"/>
  <c r="F167" i="13"/>
  <c r="F166" i="13"/>
  <c r="F165" i="13"/>
  <c r="F164" i="13"/>
  <c r="F163" i="13"/>
  <c r="I8" i="14"/>
  <c r="F159" i="13"/>
  <c r="G150" i="13"/>
  <c r="H20" i="14" s="1"/>
  <c r="F149" i="13"/>
  <c r="F148" i="13"/>
  <c r="F147" i="13"/>
  <c r="G147" i="13" s="1"/>
  <c r="H18" i="14" s="1"/>
  <c r="F146" i="13"/>
  <c r="G146" i="13" s="1"/>
  <c r="H17" i="14" s="1"/>
  <c r="F145" i="13"/>
  <c r="F144" i="13"/>
  <c r="F143" i="13"/>
  <c r="G143" i="13" s="1"/>
  <c r="H15" i="14" s="1"/>
  <c r="G142" i="13"/>
  <c r="G141" i="13"/>
  <c r="H13" i="14" s="1"/>
  <c r="G136" i="13"/>
  <c r="H11" i="14" s="1"/>
  <c r="F133" i="13"/>
  <c r="F132" i="13"/>
  <c r="F129" i="13"/>
  <c r="F128" i="13"/>
  <c r="F127" i="13"/>
  <c r="F126" i="13"/>
  <c r="F125" i="13"/>
  <c r="H8" i="14"/>
  <c r="F121" i="13"/>
  <c r="G117" i="13"/>
  <c r="G112" i="13"/>
  <c r="G20" i="14" s="1"/>
  <c r="F111" i="13"/>
  <c r="F110" i="13"/>
  <c r="F109" i="13"/>
  <c r="G109" i="13" s="1"/>
  <c r="G18" i="14" s="1"/>
  <c r="F108" i="13"/>
  <c r="G108" i="13" s="1"/>
  <c r="G17" i="14" s="1"/>
  <c r="F107" i="13"/>
  <c r="F106" i="13"/>
  <c r="F105" i="13"/>
  <c r="G105" i="13" s="1"/>
  <c r="G15" i="14" s="1"/>
  <c r="G104" i="13"/>
  <c r="G103" i="13"/>
  <c r="G13" i="14" s="1"/>
  <c r="G98" i="13"/>
  <c r="G11" i="14" s="1"/>
  <c r="F95" i="13"/>
  <c r="F94" i="13"/>
  <c r="F91" i="13"/>
  <c r="F90" i="13"/>
  <c r="F89" i="13"/>
  <c r="F88" i="13"/>
  <c r="F87" i="13"/>
  <c r="G8" i="14"/>
  <c r="F83" i="13"/>
  <c r="G79" i="13"/>
  <c r="F73" i="13"/>
  <c r="F72" i="13"/>
  <c r="F71" i="13"/>
  <c r="F70" i="13"/>
  <c r="F69" i="13"/>
  <c r="F68" i="13"/>
  <c r="F67" i="13"/>
  <c r="F45" i="13"/>
  <c r="F35" i="13"/>
  <c r="F34" i="13"/>
  <c r="F31" i="13"/>
  <c r="O27" i="14" l="1"/>
  <c r="O30" i="14"/>
  <c r="J383" i="13"/>
  <c r="K383" i="13" s="1"/>
  <c r="L26" i="14"/>
  <c r="I383" i="13"/>
  <c r="J345" i="13"/>
  <c r="K345" i="13" s="1"/>
  <c r="K14" i="14"/>
  <c r="J14" i="14"/>
  <c r="I14" i="14"/>
  <c r="H14" i="14"/>
  <c r="J269" i="13"/>
  <c r="K269" i="13" s="1"/>
  <c r="G14" i="14"/>
  <c r="J307" i="13"/>
  <c r="K307" i="13" s="1"/>
  <c r="N26" i="14"/>
  <c r="I345" i="13"/>
  <c r="M26" i="14"/>
  <c r="I307" i="13"/>
  <c r="J5" i="14"/>
  <c r="H5" i="14"/>
  <c r="G5" i="14"/>
  <c r="O28" i="14"/>
  <c r="O29" i="14"/>
  <c r="I389" i="13"/>
  <c r="L29" i="14"/>
  <c r="I300" i="13"/>
  <c r="L30" i="14"/>
  <c r="I338" i="13"/>
  <c r="M30" i="14"/>
  <c r="I311" i="13"/>
  <c r="M27" i="14"/>
  <c r="I376" i="13"/>
  <c r="N30" i="14"/>
  <c r="I349" i="13"/>
  <c r="N27" i="14"/>
  <c r="I273" i="13"/>
  <c r="L27" i="14"/>
  <c r="I370" i="13"/>
  <c r="N29" i="14"/>
  <c r="I332" i="13"/>
  <c r="M29" i="14"/>
  <c r="I351" i="13"/>
  <c r="I275" i="13"/>
  <c r="L28" i="14"/>
  <c r="I313" i="13"/>
  <c r="M28" i="14"/>
  <c r="G239" i="13"/>
  <c r="K9" i="14" s="1"/>
  <c r="G220" i="13"/>
  <c r="J16" i="14" s="1"/>
  <c r="G262" i="13"/>
  <c r="H262" i="13" s="1"/>
  <c r="G197" i="13"/>
  <c r="H197" i="13" s="1"/>
  <c r="G125" i="13"/>
  <c r="H9" i="14" s="1"/>
  <c r="G258" i="13"/>
  <c r="H256" i="13" s="1"/>
  <c r="G235" i="13"/>
  <c r="H235" i="13" s="1"/>
  <c r="G242" i="13"/>
  <c r="K12" i="14"/>
  <c r="G110" i="13"/>
  <c r="G121" i="13"/>
  <c r="H121" i="13" s="1"/>
  <c r="G201" i="13"/>
  <c r="J9" i="14" s="1"/>
  <c r="G186" i="13"/>
  <c r="H186" i="13" s="1"/>
  <c r="J12" i="14"/>
  <c r="G232" i="13"/>
  <c r="K6" i="14" s="1"/>
  <c r="G87" i="13"/>
  <c r="G9" i="14" s="1"/>
  <c r="G156" i="13"/>
  <c r="G163" i="13"/>
  <c r="I9" i="14" s="1"/>
  <c r="G231" i="13"/>
  <c r="G204" i="13"/>
  <c r="G224" i="13"/>
  <c r="H224" i="13" s="1"/>
  <c r="G194" i="13"/>
  <c r="J6" i="14" s="1"/>
  <c r="G182" i="13"/>
  <c r="H180" i="13" s="1"/>
  <c r="G118" i="13"/>
  <c r="H6" i="14" s="1"/>
  <c r="G159" i="13"/>
  <c r="H159" i="13" s="1"/>
  <c r="G166" i="13"/>
  <c r="G144" i="13"/>
  <c r="H142" i="13" s="1"/>
  <c r="I12" i="14"/>
  <c r="G83" i="13"/>
  <c r="H83" i="13" s="1"/>
  <c r="G128" i="13"/>
  <c r="G155" i="13"/>
  <c r="I5" i="14" s="1"/>
  <c r="H12" i="14"/>
  <c r="G148" i="13"/>
  <c r="H148" i="13" s="1"/>
  <c r="G106" i="13"/>
  <c r="H104" i="13" s="1"/>
  <c r="G12" i="14"/>
  <c r="G49" i="13"/>
  <c r="F9" i="14" s="1"/>
  <c r="G80" i="13"/>
  <c r="G6" i="14" s="1"/>
  <c r="G74" i="13"/>
  <c r="F20" i="14" s="1"/>
  <c r="G71" i="13"/>
  <c r="F18" i="14" s="1"/>
  <c r="G70" i="13"/>
  <c r="F17" i="14" s="1"/>
  <c r="G67" i="13"/>
  <c r="F15" i="14" s="1"/>
  <c r="G65" i="13"/>
  <c r="F13" i="14" s="1"/>
  <c r="G60" i="13"/>
  <c r="F11" i="14" s="1"/>
  <c r="F8" i="14"/>
  <c r="G45" i="13"/>
  <c r="G36" i="13"/>
  <c r="E20" i="14" s="1"/>
  <c r="F33" i="13"/>
  <c r="G33" i="13" s="1"/>
  <c r="E18" i="14" s="1"/>
  <c r="F32" i="13"/>
  <c r="G32" i="13" s="1"/>
  <c r="E17" i="14" s="1"/>
  <c r="F30" i="13"/>
  <c r="F29" i="13"/>
  <c r="G29" i="13" s="1"/>
  <c r="E15" i="14" s="1"/>
  <c r="G27" i="13"/>
  <c r="E13" i="14" s="1"/>
  <c r="G22" i="13"/>
  <c r="E11" i="14" s="1"/>
  <c r="F19" i="13"/>
  <c r="F18" i="13"/>
  <c r="F15" i="13"/>
  <c r="F14" i="13"/>
  <c r="F13" i="13"/>
  <c r="F12" i="13"/>
  <c r="F11" i="13"/>
  <c r="E8" i="14"/>
  <c r="F7" i="13"/>
  <c r="G3" i="13"/>
  <c r="L31" i="14" l="1"/>
  <c r="L32" i="14" s="1"/>
  <c r="N31" i="14"/>
  <c r="N32" i="14" s="1"/>
  <c r="M31" i="14"/>
  <c r="M32" i="14" s="1"/>
  <c r="O31" i="14"/>
  <c r="O32" i="14" s="1"/>
  <c r="H123" i="13"/>
  <c r="H79" i="13"/>
  <c r="I79" i="13" s="1"/>
  <c r="F7" i="14"/>
  <c r="H45" i="13"/>
  <c r="F27" i="14" s="1"/>
  <c r="G19" i="14"/>
  <c r="H110" i="13"/>
  <c r="H117" i="13"/>
  <c r="I117" i="13" s="1"/>
  <c r="H218" i="13"/>
  <c r="I218" i="13" s="1"/>
  <c r="H193" i="13"/>
  <c r="J26" i="14" s="1"/>
  <c r="K10" i="14"/>
  <c r="H237" i="13"/>
  <c r="I10" i="14"/>
  <c r="H161" i="13"/>
  <c r="J10" i="14"/>
  <c r="H199" i="13"/>
  <c r="I199" i="13" s="1"/>
  <c r="K5" i="14"/>
  <c r="H231" i="13"/>
  <c r="I231" i="13" s="1"/>
  <c r="I6" i="14"/>
  <c r="H155" i="13"/>
  <c r="E5" i="14"/>
  <c r="J7" i="14"/>
  <c r="I262" i="13"/>
  <c r="K30" i="14"/>
  <c r="K19" i="14"/>
  <c r="I197" i="13"/>
  <c r="J27" i="14"/>
  <c r="I19" i="14"/>
  <c r="I256" i="13"/>
  <c r="K16" i="14"/>
  <c r="H19" i="14"/>
  <c r="K7" i="14"/>
  <c r="I7" i="14"/>
  <c r="I142" i="13"/>
  <c r="H16" i="14"/>
  <c r="H10" i="14"/>
  <c r="I104" i="13"/>
  <c r="G16" i="14"/>
  <c r="J19" i="14"/>
  <c r="G7" i="14"/>
  <c r="I180" i="13"/>
  <c r="I16" i="14"/>
  <c r="H7" i="14"/>
  <c r="G11" i="13"/>
  <c r="E9" i="14" s="1"/>
  <c r="G7" i="13"/>
  <c r="H7" i="13" s="1"/>
  <c r="G72" i="13"/>
  <c r="H72" i="13" s="1"/>
  <c r="G4" i="13"/>
  <c r="E6" i="14" s="1"/>
  <c r="G66" i="13"/>
  <c r="G28" i="13"/>
  <c r="G30" i="13"/>
  <c r="E16" i="14" s="1"/>
  <c r="G68" i="13"/>
  <c r="F16" i="14" s="1"/>
  <c r="E12" i="14"/>
  <c r="G34" i="13"/>
  <c r="H34" i="13" s="1"/>
  <c r="F12" i="14"/>
  <c r="G42" i="13"/>
  <c r="F6" i="14" s="1"/>
  <c r="G41" i="13"/>
  <c r="D184" i="2"/>
  <c r="G26" i="14" l="1"/>
  <c r="J117" i="13"/>
  <c r="K117" i="13" s="1"/>
  <c r="H26" i="14"/>
  <c r="I193" i="13"/>
  <c r="E14" i="14"/>
  <c r="H28" i="13"/>
  <c r="E29" i="14" s="1"/>
  <c r="J193" i="13"/>
  <c r="K193" i="13" s="1"/>
  <c r="F14" i="14"/>
  <c r="H66" i="13"/>
  <c r="F29" i="14" s="1"/>
  <c r="J155" i="13"/>
  <c r="K155" i="13" s="1"/>
  <c r="J231" i="13"/>
  <c r="K231" i="13" s="1"/>
  <c r="K26" i="14"/>
  <c r="I155" i="13"/>
  <c r="I26" i="14"/>
  <c r="F5" i="14"/>
  <c r="H41" i="13"/>
  <c r="I41" i="13" s="1"/>
  <c r="H3" i="13"/>
  <c r="J29" i="14"/>
  <c r="J28" i="14"/>
  <c r="K29" i="14"/>
  <c r="G29" i="14"/>
  <c r="F30" i="14"/>
  <c r="F19" i="14"/>
  <c r="I29" i="14"/>
  <c r="E7" i="14"/>
  <c r="I237" i="13"/>
  <c r="K28" i="14"/>
  <c r="I83" i="13"/>
  <c r="G27" i="14"/>
  <c r="I224" i="13"/>
  <c r="J30" i="14"/>
  <c r="I159" i="13"/>
  <c r="I27" i="14"/>
  <c r="E30" i="14"/>
  <c r="E19" i="14"/>
  <c r="I110" i="13"/>
  <c r="G30" i="14"/>
  <c r="I161" i="13"/>
  <c r="I28" i="14"/>
  <c r="H29" i="14"/>
  <c r="I121" i="13"/>
  <c r="H27" i="14"/>
  <c r="I123" i="13"/>
  <c r="H28" i="14"/>
  <c r="I148" i="13"/>
  <c r="H30" i="14"/>
  <c r="I235" i="13"/>
  <c r="K27" i="14"/>
  <c r="I186" i="13"/>
  <c r="I30" i="14"/>
  <c r="I45" i="13"/>
  <c r="K31" i="14" l="1"/>
  <c r="K32" i="14" s="1"/>
  <c r="F26" i="14"/>
  <c r="I72" i="13"/>
  <c r="H31" i="14"/>
  <c r="H32" i="14" s="1"/>
  <c r="J31" i="14"/>
  <c r="J32" i="14" s="1"/>
  <c r="I31" i="14"/>
  <c r="I32" i="14" s="1"/>
  <c r="I34" i="13"/>
  <c r="I7" i="13"/>
  <c r="E27" i="14"/>
  <c r="I3" i="13"/>
  <c r="E26" i="14"/>
  <c r="I28" i="13"/>
  <c r="I66" i="13"/>
  <c r="F75" i="2"/>
  <c r="AK181" i="1" l="1"/>
  <c r="AB112" i="1"/>
  <c r="AB79" i="1"/>
  <c r="F98" i="2" l="1"/>
  <c r="F97" i="2"/>
  <c r="F60" i="2"/>
  <c r="F59" i="2"/>
  <c r="AB14" i="1"/>
  <c r="AC14" i="1"/>
  <c r="G83" i="2" l="1"/>
  <c r="D24" i="2" l="1"/>
  <c r="D6" i="14"/>
  <c r="C24" i="2"/>
  <c r="C6" i="14"/>
  <c r="D183" i="2" l="1"/>
  <c r="D176" i="2"/>
  <c r="D157" i="2"/>
  <c r="D150" i="2"/>
  <c r="D132" i="2"/>
  <c r="D125" i="2"/>
  <c r="F104" i="2" l="1"/>
  <c r="F66" i="2"/>
  <c r="F110" i="2" l="1"/>
  <c r="G102" i="2" l="1"/>
  <c r="G64" i="2"/>
  <c r="C30" i="2" s="1"/>
  <c r="X484" i="1" l="1"/>
  <c r="F92" i="2"/>
  <c r="F54" i="2"/>
  <c r="AB44" i="1" l="1"/>
  <c r="S289" i="1"/>
  <c r="F108" i="2" l="1"/>
  <c r="F70" i="2"/>
  <c r="AF112" i="1"/>
  <c r="G52" i="13" l="1"/>
  <c r="H47" i="13" s="1"/>
  <c r="J41" i="13" s="1"/>
  <c r="G14" i="13"/>
  <c r="G90" i="13"/>
  <c r="D187" i="2"/>
  <c r="D180" i="2"/>
  <c r="D161" i="2"/>
  <c r="D154" i="2"/>
  <c r="D136" i="2"/>
  <c r="D129" i="2"/>
  <c r="F112" i="2"/>
  <c r="F74" i="2"/>
  <c r="D186" i="2"/>
  <c r="D179" i="2"/>
  <c r="D160" i="2"/>
  <c r="D153" i="2"/>
  <c r="D135" i="2"/>
  <c r="D128" i="2"/>
  <c r="F111" i="2"/>
  <c r="F73" i="2"/>
  <c r="F71" i="2"/>
  <c r="F109" i="2"/>
  <c r="G10" i="14" l="1"/>
  <c r="H85" i="13"/>
  <c r="J79" i="13" s="1"/>
  <c r="E10" i="14"/>
  <c r="H9" i="13"/>
  <c r="J3" i="13" s="1"/>
  <c r="K3" i="13" s="1"/>
  <c r="F10" i="14"/>
  <c r="K41" i="13"/>
  <c r="F28" i="14"/>
  <c r="F31" i="14" s="1"/>
  <c r="F32" i="14" s="1"/>
  <c r="I47" i="13"/>
  <c r="S153" i="1"/>
  <c r="F56" i="2" s="1"/>
  <c r="F90" i="2"/>
  <c r="F52" i="2"/>
  <c r="F86" i="2"/>
  <c r="G48" i="2"/>
  <c r="F114" i="2"/>
  <c r="F76" i="2"/>
  <c r="G75" i="2" s="1"/>
  <c r="C7" i="14" l="1"/>
  <c r="H48" i="2"/>
  <c r="C19" i="14"/>
  <c r="I85" i="13"/>
  <c r="I9" i="13"/>
  <c r="E28" i="14"/>
  <c r="E31" i="14" s="1"/>
  <c r="E32" i="14" s="1"/>
  <c r="K79" i="13"/>
  <c r="G28" i="14"/>
  <c r="G31" i="14" s="1"/>
  <c r="G32" i="14" s="1"/>
  <c r="F94" i="2"/>
  <c r="F93" i="2"/>
  <c r="F55" i="2"/>
  <c r="C112" i="1" l="1"/>
  <c r="G63" i="2" l="1"/>
  <c r="G101" i="2"/>
  <c r="D29" i="2" l="1"/>
  <c r="D11" i="14"/>
  <c r="C29" i="2"/>
  <c r="C11" i="14"/>
  <c r="F12" i="2"/>
  <c r="F11" i="2"/>
  <c r="F13" i="2" l="1"/>
  <c r="B164" i="2" l="1"/>
  <c r="B166" i="2" s="1"/>
  <c r="B190" i="2"/>
  <c r="B192" i="2" s="1"/>
  <c r="B139" i="2"/>
  <c r="B141" i="2" s="1"/>
  <c r="B138" i="2"/>
  <c r="B140" i="2" s="1"/>
  <c r="B189" i="2"/>
  <c r="B191" i="2" s="1"/>
  <c r="B163" i="2"/>
  <c r="B165" i="2" s="1"/>
  <c r="F91" i="2"/>
  <c r="F53" i="2"/>
  <c r="K8" i="2" l="1"/>
  <c r="K7" i="2"/>
  <c r="B142" i="2"/>
  <c r="B193" i="2"/>
  <c r="B167" i="2"/>
  <c r="K9" i="2" l="1"/>
  <c r="K10" i="2" s="1"/>
  <c r="G70" i="2"/>
  <c r="G108" i="2"/>
  <c r="D33" i="2" l="1"/>
  <c r="D15" i="14"/>
  <c r="C33" i="2"/>
  <c r="C15" i="14"/>
  <c r="G74" i="2"/>
  <c r="G112" i="2"/>
  <c r="D36" i="2" l="1"/>
  <c r="D18" i="14"/>
  <c r="C36" i="2"/>
  <c r="C18" i="14"/>
  <c r="G73" i="2"/>
  <c r="G111" i="2"/>
  <c r="D35" i="2" l="1"/>
  <c r="D17" i="14"/>
  <c r="C35" i="2"/>
  <c r="C17" i="14"/>
  <c r="G82" i="2"/>
  <c r="H82" i="2" s="1"/>
  <c r="G44" i="2"/>
  <c r="H44" i="2" l="1"/>
  <c r="H3" i="15"/>
  <c r="D23" i="2"/>
  <c r="D5" i="14"/>
  <c r="C23" i="2"/>
  <c r="C5" i="14"/>
  <c r="G69" i="2"/>
  <c r="G90" i="2"/>
  <c r="D9" i="14" s="1"/>
  <c r="G52" i="2"/>
  <c r="C9" i="14" s="1"/>
  <c r="C14" i="14" l="1"/>
  <c r="G107" i="2"/>
  <c r="C32" i="2"/>
  <c r="D27" i="2"/>
  <c r="C27" i="2"/>
  <c r="D14" i="14" l="1"/>
  <c r="D32" i="2"/>
  <c r="G115" i="2"/>
  <c r="G77" i="2"/>
  <c r="H75" i="2" s="1"/>
  <c r="D38" i="2" l="1"/>
  <c r="D20" i="14"/>
  <c r="C38" i="2"/>
  <c r="C20" i="14"/>
  <c r="G71" i="2"/>
  <c r="H69" i="2" s="1"/>
  <c r="C34" i="2" l="1"/>
  <c r="C16" i="14"/>
  <c r="G113" i="2"/>
  <c r="G109" i="2"/>
  <c r="H107" i="2" s="1"/>
  <c r="D19" i="14" l="1"/>
  <c r="H113" i="2"/>
  <c r="D34" i="2"/>
  <c r="D16" i="14"/>
  <c r="D29" i="14"/>
  <c r="I82" i="2" l="1"/>
  <c r="D26" i="14"/>
  <c r="I107" i="2"/>
  <c r="I33" i="2"/>
  <c r="I23" i="2"/>
  <c r="C37" i="2"/>
  <c r="D37" i="2"/>
  <c r="C26" i="14" l="1"/>
  <c r="H23" i="2"/>
  <c r="H36" i="2"/>
  <c r="H9" i="15" s="1"/>
  <c r="C30" i="14"/>
  <c r="I36" i="2"/>
  <c r="D30" i="14"/>
  <c r="H33" i="2"/>
  <c r="C29" i="14"/>
  <c r="I113" i="2"/>
  <c r="I75" i="2"/>
  <c r="I44" i="2"/>
  <c r="I69" i="2"/>
  <c r="G93" i="2"/>
  <c r="J33" i="2" l="1"/>
  <c r="H8" i="15"/>
  <c r="J23" i="2"/>
  <c r="H5" i="15"/>
  <c r="J36" i="2"/>
  <c r="D28" i="2"/>
  <c r="D10" i="14"/>
  <c r="D26" i="2"/>
  <c r="D8" i="14"/>
  <c r="G68" i="2"/>
  <c r="G106" i="2"/>
  <c r="H88" i="2" s="1"/>
  <c r="D12" i="14"/>
  <c r="G86" i="2"/>
  <c r="D7" i="14" l="1"/>
  <c r="H86" i="2"/>
  <c r="J82" i="2" s="1"/>
  <c r="D31" i="2"/>
  <c r="D13" i="14"/>
  <c r="C31" i="2"/>
  <c r="C13" i="14"/>
  <c r="G55" i="2"/>
  <c r="D25" i="2"/>
  <c r="D30" i="2"/>
  <c r="C8" i="14"/>
  <c r="H50" i="2" l="1"/>
  <c r="J44" i="2" s="1"/>
  <c r="I86" i="2"/>
  <c r="D27" i="14"/>
  <c r="I88" i="2"/>
  <c r="D28" i="14"/>
  <c r="C12" i="14"/>
  <c r="C28" i="2"/>
  <c r="C10" i="14"/>
  <c r="I26" i="2"/>
  <c r="I29" i="2"/>
  <c r="C26" i="2"/>
  <c r="C28" i="14" l="1"/>
  <c r="K82" i="2"/>
  <c r="F8" i="2"/>
  <c r="D31" i="14"/>
  <c r="D32" i="14" s="1"/>
  <c r="I50" i="2"/>
  <c r="H29" i="2"/>
  <c r="C25" i="2"/>
  <c r="D18" i="2" s="1"/>
  <c r="J29" i="2" l="1"/>
  <c r="H7" i="15"/>
  <c r="C27" i="14"/>
  <c r="C31" i="14" s="1"/>
  <c r="C32" i="14" s="1"/>
  <c r="I48" i="2" l="1"/>
  <c r="H26" i="2"/>
  <c r="K44" i="2"/>
  <c r="J26" i="2" l="1"/>
  <c r="H6" i="15"/>
  <c r="H11" i="15" s="1"/>
  <c r="E13" i="15" s="1"/>
  <c r="F7" i="2"/>
  <c r="F9" i="2" s="1"/>
  <c r="F10" i="2" s="1"/>
  <c r="F15" i="2"/>
  <c r="K15" i="2" s="1"/>
  <c r="B14" i="15" l="1"/>
  <c r="E14" i="15" s="1"/>
  <c r="E19" i="15"/>
  <c r="F14" i="2"/>
  <c r="K14" i="2" s="1"/>
  <c r="E15" i="15" l="1"/>
  <c r="E20" i="15"/>
  <c r="E21" i="15" s="1"/>
  <c r="E22" i="15" s="1"/>
  <c r="F16" i="2"/>
  <c r="F17" i="2" s="1"/>
  <c r="K16" i="2"/>
  <c r="K17" i="2" s="1"/>
</calcChain>
</file>

<file path=xl/comments1.xml><?xml version="1.0" encoding="utf-8"?>
<comments xmlns="http://schemas.openxmlformats.org/spreadsheetml/2006/main">
  <authors>
    <author>Will Harman</author>
    <author>Owner</author>
  </authors>
  <commentList>
    <comment ref="B3" authorId="0" shapeId="0">
      <text>
        <r>
          <rPr>
            <sz val="9"/>
            <color indexed="81"/>
            <rFont val="Tahoma"/>
            <family val="2"/>
          </rPr>
          <t xml:space="preserve">Type entry into gray cells.
</t>
        </r>
      </text>
    </comment>
    <comment ref="B5" authorId="0" shapeId="0">
      <text>
        <r>
          <rPr>
            <sz val="9"/>
            <color indexed="81"/>
            <rFont val="Tahoma"/>
            <family val="2"/>
          </rPr>
          <t xml:space="preserve">Select from pull-down menu for highlighted cells. Do not type.
</t>
        </r>
      </text>
    </comment>
    <comment ref="E77" authorId="1"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115" authorId="1"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List>
</comments>
</file>

<file path=xl/comments2.xml><?xml version="1.0" encoding="utf-8"?>
<comments xmlns="http://schemas.openxmlformats.org/spreadsheetml/2006/main">
  <authors>
    <author>Owner</author>
  </authors>
  <commentList>
    <comment ref="E36"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74"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112"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150"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188"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226"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264"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302"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340"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378"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 ref="E416" authorId="0" shapeId="0">
      <text>
        <r>
          <rPr>
            <b/>
            <sz val="9"/>
            <color indexed="81"/>
            <rFont val="Tahoma"/>
            <family val="2"/>
          </rPr>
          <t>Owner:</t>
        </r>
        <r>
          <rPr>
            <sz val="9"/>
            <color indexed="81"/>
            <rFont val="Tahoma"/>
            <family val="2"/>
          </rPr>
          <t xml:space="preserve">
The NICIBI is only applicable to wadeable streams in the Western
and Northern Mountains (French Broad, Hiwassee, Little Tennessee, New, and Watauga River basins),
the Inner Piedmont, Foothills, and Eastern Mountains (Broad, Catawba, Savannah, and Yadkin (exclusive
of the Sand Hills) River basins); and the Outer Piedmont (Cape Fear, Neuse, Roanoke, and Tar River basins).</t>
        </r>
      </text>
    </comment>
  </commentList>
</comments>
</file>

<file path=xl/sharedStrings.xml><?xml version="1.0" encoding="utf-8"?>
<sst xmlns="http://schemas.openxmlformats.org/spreadsheetml/2006/main" count="1873" uniqueCount="453">
  <si>
    <t>Bank Height Ratio (BHR)</t>
  </si>
  <si>
    <t>Functional Category</t>
  </si>
  <si>
    <t>Function-Based Parameters</t>
  </si>
  <si>
    <t>Measurement Method</t>
  </si>
  <si>
    <t>Field</t>
  </si>
  <si>
    <t>Index</t>
  </si>
  <si>
    <t>Hydraulics</t>
  </si>
  <si>
    <t>Floodplain Connectivity</t>
  </si>
  <si>
    <t>Bank Height Ratio</t>
  </si>
  <si>
    <t>Entrenchment Ratio</t>
  </si>
  <si>
    <t>C</t>
  </si>
  <si>
    <t>E</t>
  </si>
  <si>
    <t>B</t>
  </si>
  <si>
    <t>Bc</t>
  </si>
  <si>
    <t>Entrenchment Ratio (ER) C and E Streams</t>
  </si>
  <si>
    <t>Field Value</t>
  </si>
  <si>
    <t>Index Value</t>
  </si>
  <si>
    <t>Drainage Area (sqmi):</t>
  </si>
  <si>
    <t>Roll Up Scoring</t>
  </si>
  <si>
    <t>Parameter</t>
  </si>
  <si>
    <t>Category</t>
  </si>
  <si>
    <t>Overall</t>
  </si>
  <si>
    <t>A</t>
  </si>
  <si>
    <t>Sand</t>
  </si>
  <si>
    <t>Gravel</t>
  </si>
  <si>
    <t>&gt;10 sq.mi</t>
  </si>
  <si>
    <t>&lt;10 sq.mi</t>
  </si>
  <si>
    <t>LWD Index</t>
  </si>
  <si>
    <t>Perennial</t>
  </si>
  <si>
    <t>Flow Type:</t>
  </si>
  <si>
    <t>Geomorphology</t>
  </si>
  <si>
    <t>Large Woody Debris</t>
  </si>
  <si>
    <t>Ephemeral</t>
  </si>
  <si>
    <t>L/VL</t>
  </si>
  <si>
    <t>L/L</t>
  </si>
  <si>
    <t>L/M</t>
  </si>
  <si>
    <t>L/H</t>
  </si>
  <si>
    <t>L/VH</t>
  </si>
  <si>
    <t>M/VL</t>
  </si>
  <si>
    <t>M/L</t>
  </si>
  <si>
    <t>M/M</t>
  </si>
  <si>
    <t>M/H</t>
  </si>
  <si>
    <t>L/Ex</t>
  </si>
  <si>
    <t>H/L</t>
  </si>
  <si>
    <t>H/M</t>
  </si>
  <si>
    <t>H/H</t>
  </si>
  <si>
    <t>VH/VL</t>
  </si>
  <si>
    <t>Ex/VL</t>
  </si>
  <si>
    <t>H/Ex</t>
  </si>
  <si>
    <t>Ex/M</t>
  </si>
  <si>
    <t>Ex/H</t>
  </si>
  <si>
    <t>Ex/VH</t>
  </si>
  <si>
    <t>VH/VH</t>
  </si>
  <si>
    <t>Ex/Ex</t>
  </si>
  <si>
    <t>Lateral Stability</t>
  </si>
  <si>
    <t>Dominant BEHI/NBS</t>
  </si>
  <si>
    <t>Riparian Vegetation</t>
  </si>
  <si>
    <t>Bed Form Diversity</t>
  </si>
  <si>
    <t>Pool Spacing Ratio</t>
  </si>
  <si>
    <t>Pool Depth Ratio</t>
  </si>
  <si>
    <t>Pool Depth Ratio for gravel bed C and E stream</t>
  </si>
  <si>
    <t>Pool Depth Ratio for sand bed C and E stream</t>
  </si>
  <si>
    <t>Percent Riffle</t>
  </si>
  <si>
    <t>Sinuosity</t>
  </si>
  <si>
    <t>Plan Form</t>
  </si>
  <si>
    <t>EXISTING CONDITION ASSESSMENT</t>
  </si>
  <si>
    <t>PROPOSED CONDITION ASSESSMENT</t>
  </si>
  <si>
    <t>Restoration Potential:</t>
  </si>
  <si>
    <t>Physicochemical</t>
  </si>
  <si>
    <t>Region:</t>
  </si>
  <si>
    <t>Biology</t>
  </si>
  <si>
    <t>Level 3 - Geomorphology</t>
  </si>
  <si>
    <t>Level 4 - Physicochemical</t>
  </si>
  <si>
    <t>Level 5 - Biology</t>
  </si>
  <si>
    <t>Mountains</t>
  </si>
  <si>
    <t>Piedmont</t>
  </si>
  <si>
    <t>Coastal Plain</t>
  </si>
  <si>
    <t>Intermittent</t>
  </si>
  <si>
    <t>Hydrology</t>
  </si>
  <si>
    <t>Runoff</t>
  </si>
  <si>
    <t>Yes</t>
  </si>
  <si>
    <t>No</t>
  </si>
  <si>
    <t>Proposed Stream Length (ft):</t>
  </si>
  <si>
    <t>Existing Stream Length (ft):</t>
  </si>
  <si>
    <t>Additional Stream Length (ft)</t>
  </si>
  <si>
    <t>Notes</t>
  </si>
  <si>
    <t>1. Users input values that are highlighted based on restoration potential</t>
  </si>
  <si>
    <t>Existing Stream Length (ft)</t>
  </si>
  <si>
    <t>Existing Parameter</t>
  </si>
  <si>
    <t>Proposed Parameter</t>
  </si>
  <si>
    <t>Specific Conductivity in Piedmont</t>
  </si>
  <si>
    <t>Organic Matter</t>
  </si>
  <si>
    <t>Leaf Litter Processing Rate</t>
  </si>
  <si>
    <t>Macros</t>
  </si>
  <si>
    <t>Qual 4 - Biotic Index Mountain</t>
  </si>
  <si>
    <t>Qual 4 - Biotic Index Piedmont</t>
  </si>
  <si>
    <t>CATCHMENT ASSESSMENT</t>
  </si>
  <si>
    <t xml:space="preserve">Rater(s): </t>
  </si>
  <si>
    <t xml:space="preserve">Date: </t>
  </si>
  <si>
    <t>Categories</t>
  </si>
  <si>
    <t>Description of Catchment Condition</t>
  </si>
  <si>
    <t>Impoundment(s) located within 1 mile upstream or downstream of project area and/or has a negative effect on project area and fish passage</t>
  </si>
  <si>
    <t>No impoundment upstream or downstream of project area OR impoundment provides beneficial effect on project area and allows for fish passage</t>
  </si>
  <si>
    <t xml:space="preserve">Some potential for concentrated flow/impairments to reach restoration site, however, measures are in place to protect resources </t>
  </si>
  <si>
    <t xml:space="preserve">No potential for concentrated flow/impairments from adjacent land use </t>
  </si>
  <si>
    <t>Rapidly urbanizing/urban</t>
  </si>
  <si>
    <t>Single family homes/suburban</t>
  </si>
  <si>
    <t>Rural communities/slow growth or primarily forested</t>
  </si>
  <si>
    <t>Roads located in or adjacent to project reach and/or major roads proposed in 10 year DOT plans</t>
  </si>
  <si>
    <t xml:space="preserve">No roads in or adjacent to project reach.  No more than one major road proposed in 10 year DOT plans.   </t>
  </si>
  <si>
    <t>No roads in or adjacent to project reach.  No proposed roads in 10 year DOT plans.</t>
  </si>
  <si>
    <t>Piedmont = &gt;229; Blue Ridge = &gt;66</t>
  </si>
  <si>
    <t>Piedmont = 78-229; Blue Ridge = 41-66</t>
  </si>
  <si>
    <t>Piedmont = &lt;78; Blue Ridge = &lt;41</t>
  </si>
  <si>
    <t>&gt;20% and &lt;70%</t>
  </si>
  <si>
    <t>&lt;50% of contributing stream length has &gt; 25 ft corridor width</t>
  </si>
  <si>
    <t>50-80% of contributing stream length has &gt; 25 ft corridor width</t>
  </si>
  <si>
    <t>&gt;80% of contributing stream length has &gt; 25 ft corridor width</t>
  </si>
  <si>
    <t>High sediment supply from upstream bank erosion and surface runoff</t>
  </si>
  <si>
    <t>Moderate sediment supply from upstream bank erosion and surface runoff</t>
  </si>
  <si>
    <t>Low sediment supply. Upstream bank erosion and surface runoff is minimal</t>
  </si>
  <si>
    <t>TMDL</t>
  </si>
  <si>
    <t>Grant</t>
  </si>
  <si>
    <t>Other</t>
  </si>
  <si>
    <t>Programmatic Goals</t>
  </si>
  <si>
    <t>Select:</t>
  </si>
  <si>
    <t>NCIBI Score - French Broad, Hiwassee, Little Tennessee, New, and Watauga River basins</t>
  </si>
  <si>
    <t>NCIBI Score - Broad, Catawba, Savannah, and Yadkin River basins</t>
  </si>
  <si>
    <t>River Basin:</t>
  </si>
  <si>
    <t>French Broad</t>
  </si>
  <si>
    <t>Hiwassee</t>
  </si>
  <si>
    <t>Little Tennessee</t>
  </si>
  <si>
    <t>New</t>
  </si>
  <si>
    <t>Watauga</t>
  </si>
  <si>
    <t>Broad</t>
  </si>
  <si>
    <t>Catawba</t>
  </si>
  <si>
    <t>Savannah</t>
  </si>
  <si>
    <t>Cape Fear</t>
  </si>
  <si>
    <t>Neuse</t>
  </si>
  <si>
    <t>Roanoke</t>
  </si>
  <si>
    <t>Yadkin-PeeDee</t>
  </si>
  <si>
    <t>Lumber</t>
  </si>
  <si>
    <t>White Oak</t>
  </si>
  <si>
    <t>Tar-Pamlico</t>
  </si>
  <si>
    <t>Chowan</t>
  </si>
  <si>
    <t>Pasquotank</t>
  </si>
  <si>
    <t>Fish</t>
  </si>
  <si>
    <t>North Carolina Index of Biotic Integrity</t>
  </si>
  <si>
    <t>HYDRAULICS</t>
  </si>
  <si>
    <t>HYDROLOGY</t>
  </si>
  <si>
    <t>GEOMORPHOLOGY</t>
  </si>
  <si>
    <t>PHYSICOCHEMICAL</t>
  </si>
  <si>
    <t>BIOLOGY</t>
  </si>
  <si>
    <t>Catchment Assessment Form</t>
  </si>
  <si>
    <t>Livestock access to stream and/or intensive cropland upstream of project reach. A sufficient reach of stream is between Ag. land use and project reach.</t>
  </si>
  <si>
    <t>There is little to no agricultural land uses or the livestock or cropland is far enough away from project reach to cause no impact to water quality or biology.</t>
  </si>
  <si>
    <t>Erosion Rate (ft/yr)</t>
  </si>
  <si>
    <t>Stream Temperature:</t>
  </si>
  <si>
    <t>Coldwater</t>
  </si>
  <si>
    <t>Coolwater</t>
  </si>
  <si>
    <t>Warmwater</t>
  </si>
  <si>
    <t>Temperature</t>
  </si>
  <si>
    <t>Nitrogen</t>
  </si>
  <si>
    <t>Phosphorus</t>
  </si>
  <si>
    <t>Proposed Stream Length (ft)</t>
  </si>
  <si>
    <t>Proposed Stream Type:</t>
  </si>
  <si>
    <t>F</t>
  </si>
  <si>
    <t>G</t>
  </si>
  <si>
    <t>Stream Slope (%):</t>
  </si>
  <si>
    <t>Proposed Bed Material:</t>
  </si>
  <si>
    <t>Left Buffer Width (ft)</t>
  </si>
  <si>
    <t>Right Buffer Width (ft)</t>
  </si>
  <si>
    <t>Percent Riffle for Streams  &gt;10% slope</t>
  </si>
  <si>
    <t>The Functional Lift Quantification Tool Credits:</t>
  </si>
  <si>
    <t>Annette Lucas, Division of Water Resources</t>
  </si>
  <si>
    <t>Dave Penrose, Watershed Science</t>
  </si>
  <si>
    <t xml:space="preserve">Specific Conductivity </t>
  </si>
  <si>
    <t>Catchment Hydrology</t>
  </si>
  <si>
    <t>Impervious Cover (%)</t>
  </si>
  <si>
    <t>Concentrated Flow (Hydrology)</t>
  </si>
  <si>
    <t>Impervious cover (Hydrology)</t>
  </si>
  <si>
    <t>Land Use Change  (Hydrology)</t>
  </si>
  <si>
    <t>Distance to Roads (Hydrology)</t>
  </si>
  <si>
    <t>Riparian Vegetation (Geomorphology)</t>
  </si>
  <si>
    <t>Sediment Supply (Geomorphology)</t>
  </si>
  <si>
    <t>Watershed impoundments  (Biology)</t>
  </si>
  <si>
    <t>Organism Recruitment (Biology)</t>
  </si>
  <si>
    <t>Agricultural Land Use (Physicochemical)</t>
  </si>
  <si>
    <t>Specific Conductance (uS/cm at 25oC) (Physicochemical)</t>
  </si>
  <si>
    <t>Located on or downstream of a 303(d) listed stream TMDL list (Physicochemical)</t>
  </si>
  <si>
    <t>Total Nitrogen</t>
  </si>
  <si>
    <t>Total Phosphorous- Adjacent</t>
  </si>
  <si>
    <t>Percent Streambank Erosion (%)</t>
  </si>
  <si>
    <t>Percent Shredders</t>
  </si>
  <si>
    <t>Bacteria</t>
  </si>
  <si>
    <t>Organic Carbon</t>
  </si>
  <si>
    <t>Fecal Coliform Bacteria</t>
  </si>
  <si>
    <t>Fecal Coliform (Cfu/100 ml)</t>
  </si>
  <si>
    <t>Gc</t>
  </si>
  <si>
    <t>Entrenchment Ratio (ER) A, B and Bc Streams</t>
  </si>
  <si>
    <t xml:space="preserve">Pool Spacing Ratio for slope &gt;= 4% </t>
  </si>
  <si>
    <t>Pool Spacing Ratio for slope &lt; 4% &amp; DA &gt;=10 &amp; C or E stream types</t>
  </si>
  <si>
    <t>Pool Spacing Ratio for slope &lt; 4% &amp; DA &lt;10 &amp; C or E stream types</t>
  </si>
  <si>
    <t>M/Ex</t>
  </si>
  <si>
    <t>M/VH</t>
  </si>
  <si>
    <t>H/VL</t>
  </si>
  <si>
    <t>H/VH</t>
  </si>
  <si>
    <t>VH/L</t>
  </si>
  <si>
    <t>VH/M</t>
  </si>
  <si>
    <t>VH/H</t>
  </si>
  <si>
    <t>VH/Ex</t>
  </si>
  <si>
    <t>Ex/L</t>
  </si>
  <si>
    <t>Percent Riffle for Streams &lt; 3% slope</t>
  </si>
  <si>
    <t>Percent Riffle for Streams  3%-10% slope</t>
  </si>
  <si>
    <t xml:space="preserve">Leaf Litter Processing Rate </t>
  </si>
  <si>
    <t>Insert Aerial Photo of Project Reach</t>
  </si>
  <si>
    <t>Reach ID:</t>
  </si>
  <si>
    <t>BMP Routine</t>
  </si>
  <si>
    <t>Effective Stream Length (ft)</t>
  </si>
  <si>
    <t>Existing Condition Assessment</t>
  </si>
  <si>
    <t>Proposed Condition Assessment</t>
  </si>
  <si>
    <t>Results</t>
  </si>
  <si>
    <t xml:space="preserve">BMP Existing Score </t>
  </si>
  <si>
    <t>BMP Proposed Score</t>
  </si>
  <si>
    <t xml:space="preserve">Existing BMP Functional Foot Score </t>
  </si>
  <si>
    <t>Proposed BMP Functional Foot Score</t>
  </si>
  <si>
    <t>Proposed FFS - Existing FFS</t>
  </si>
  <si>
    <t>BMP ID</t>
  </si>
  <si>
    <t>BMP 3</t>
  </si>
  <si>
    <t>BMP 2</t>
  </si>
  <si>
    <t xml:space="preserve">BMP 1 </t>
  </si>
  <si>
    <t>Parameter Selection Guide</t>
  </si>
  <si>
    <t>restoration project. All parameters would rarely, if ever, be used for a single project. The scenarios below show when each parameter could be</t>
  </si>
  <si>
    <r>
      <t>used. Note, if a parameter is selected, it must be assessed for the existing</t>
    </r>
    <r>
      <rPr>
        <i/>
        <sz val="11"/>
        <color theme="1"/>
        <rFont val="Calibri"/>
        <family val="2"/>
        <scheme val="minor"/>
      </rPr>
      <t xml:space="preserve"> </t>
    </r>
    <r>
      <rPr>
        <b/>
        <sz val="11"/>
        <color theme="1"/>
        <rFont val="Calibri"/>
        <family val="2"/>
        <scheme val="minor"/>
      </rPr>
      <t>and</t>
    </r>
    <r>
      <rPr>
        <sz val="11"/>
        <color theme="1"/>
        <rFont val="Calibri"/>
        <family val="2"/>
        <scheme val="minor"/>
      </rPr>
      <t xml:space="preserve"> proposed condition.</t>
    </r>
  </si>
  <si>
    <t xml:space="preserve">Scenarios </t>
  </si>
  <si>
    <t>Required for all assessments</t>
  </si>
  <si>
    <t>Stormwater BMPs on adjacent drainages</t>
  </si>
  <si>
    <t>Optional for all projects. Required for Restoration Potential 4 Projects</t>
  </si>
  <si>
    <t>Optional for all projects. Required for Restoration Potential 5 Projects</t>
  </si>
  <si>
    <t>Existing Stream Type:</t>
  </si>
  <si>
    <t>Percent of Catchment being Enhanced or Restored</t>
  </si>
  <si>
    <t>Canopy Coverage</t>
  </si>
  <si>
    <t>Left Canopy Coverage (%)</t>
  </si>
  <si>
    <t>Right Canopy Coverage (%)</t>
  </si>
  <si>
    <t>Basin Area treated by BMP (Ac)</t>
  </si>
  <si>
    <r>
      <t>Specific Conductivity (uS/cm at 25</t>
    </r>
    <r>
      <rPr>
        <sz val="12"/>
        <color theme="1"/>
        <rFont val="Arial"/>
        <family val="2"/>
      </rPr>
      <t>°</t>
    </r>
    <r>
      <rPr>
        <sz val="12"/>
        <color theme="1"/>
        <rFont val="Calibri"/>
        <family val="2"/>
        <scheme val="minor"/>
      </rPr>
      <t>C)</t>
    </r>
  </si>
  <si>
    <t>FUNCTIONAL CATEGORY REPORT CARD</t>
  </si>
  <si>
    <t xml:space="preserve">Functional Category  </t>
  </si>
  <si>
    <t>ECS</t>
  </si>
  <si>
    <t>PCS</t>
  </si>
  <si>
    <t>Bed Material</t>
  </si>
  <si>
    <t>Left Basal Area (sq.ft/acre)</t>
  </si>
  <si>
    <t>Right Basal Area (sq.ft/acre)</t>
  </si>
  <si>
    <t>Biotic Index</t>
  </si>
  <si>
    <t>Bed Material Characterization</t>
  </si>
  <si>
    <t>Site Information and 
Performance Standard Stratification</t>
  </si>
  <si>
    <t>Project Name:</t>
  </si>
  <si>
    <t>Potential use for stormwater BMPs.</t>
  </si>
  <si>
    <t>Site Information</t>
  </si>
  <si>
    <t>a</t>
  </si>
  <si>
    <t>b</t>
  </si>
  <si>
    <t>EPT Taxa Present - Coastal Plain</t>
  </si>
  <si>
    <t>EPT Taxa Present - Piedmont</t>
  </si>
  <si>
    <t>EPT Taxa Present - Mountains</t>
  </si>
  <si>
    <t>EPT Taxa Present</t>
  </si>
  <si>
    <t>F &amp; FAR</t>
  </si>
  <si>
    <t>NF</t>
  </si>
  <si>
    <t>c</t>
  </si>
  <si>
    <t>d</t>
  </si>
  <si>
    <t>NF &amp; FAR</t>
  </si>
  <si>
    <t>Field  &lt; 4</t>
  </si>
  <si>
    <t>Pool Depth Ratio for A, B and Bc stream</t>
  </si>
  <si>
    <t>Field &lt;60</t>
  </si>
  <si>
    <t>Field &gt;= 60</t>
  </si>
  <si>
    <t>Field &gt; 60</t>
  </si>
  <si>
    <t>Field &lt; 50</t>
  </si>
  <si>
    <t>Field &lt;= 1.33</t>
  </si>
  <si>
    <t>Field &gt; 1.33</t>
  </si>
  <si>
    <t>Field &lt; 0.75</t>
  </si>
  <si>
    <t>FAR &amp; F</t>
  </si>
  <si>
    <t>Exisiting Condition Score (ECS)</t>
  </si>
  <si>
    <t>Proposed Condition Score (PCS)</t>
  </si>
  <si>
    <t>FUNCTIONAL FEET (FF) SUMMARY</t>
  </si>
  <si>
    <t>Existing BMP Functional Feet Score (FFS)</t>
  </si>
  <si>
    <t>Proposed BMP Functional Feet Score (FFS)</t>
  </si>
  <si>
    <t>Proposed BMP FFS - Existing BMP FFS</t>
  </si>
  <si>
    <t>Existing Stream FFS + Existing BMP FFS</t>
  </si>
  <si>
    <t>Proposed Stream FFS + Proposed BMP FFS</t>
  </si>
  <si>
    <t>Total Proposed FFS - Total Existing FFS</t>
  </si>
  <si>
    <t>FUNCTION BASED PARAMETERS SUMMARY</t>
  </si>
  <si>
    <t>Field - W/Sp</t>
  </si>
  <si>
    <t>Field - Su</t>
  </si>
  <si>
    <t>Field - Fall</t>
  </si>
  <si>
    <t xml:space="preserve">Shredders- Mountains &amp; DA &lt;= 5 Sq.Mi. </t>
  </si>
  <si>
    <t>Winter/Spring</t>
  </si>
  <si>
    <t>Summer</t>
  </si>
  <si>
    <t>Fall</t>
  </si>
  <si>
    <t>Shredders- Mountains &amp; 5 &lt; DA &lt; 10 Sq.Mi.</t>
  </si>
  <si>
    <t>Shredders- Mountains &amp; DA &gt;= 10 Sq.Mi.</t>
  </si>
  <si>
    <t xml:space="preserve">Shredders- Piedmont &amp; DA &lt;= 5 Sq.Mi. </t>
  </si>
  <si>
    <t>Shredders- Piedmont &amp; 5 &lt; DA &lt; 10 Sq.Mi.</t>
  </si>
  <si>
    <t xml:space="preserve">Shredders- Coastal &amp; DA &lt;= 5 Sq.Mi. </t>
  </si>
  <si>
    <t>Shredders- Piedmont &amp; DA &gt;= 10 Sq.Mi.</t>
  </si>
  <si>
    <t>Shredders- Coastal &amp; 5 &lt; DA &lt; 10 Sq.Mi.</t>
  </si>
  <si>
    <t>Shredders- Coastal &amp; DA &gt;= 10 Sq.Mi.</t>
  </si>
  <si>
    <t>Data Collection Season:</t>
  </si>
  <si>
    <t xml:space="preserve"> On, upstream, or downstream of 303(d) and TMDL/WS Mgmt plan addressing deficiencies </t>
  </si>
  <si>
    <t>Not on 303(d) list</t>
  </si>
  <si>
    <t>Poor</t>
  </si>
  <si>
    <t>Fair</t>
  </si>
  <si>
    <t>Good</t>
  </si>
  <si>
    <t>Rating (P/F/G)</t>
  </si>
  <si>
    <t>P</t>
  </si>
  <si>
    <t>Livestock access to stream and/or intensive cropland immediately upstream of project reach.</t>
  </si>
  <si>
    <t xml:space="preserve">Channel immediately upstream or downstream of project reach is concrete, piped, or hardened. </t>
  </si>
  <si>
    <t>Channel immediately upstream or downstream of project reach has native bed and bank material, but is impaired.</t>
  </si>
  <si>
    <t>Channel immediately upstream or downstream of project reach has native bed and bank material.</t>
  </si>
  <si>
    <t>On, upstream, or downstream of 303(d) and no TMDL/WS Mgmt plan to address deficiencies</t>
  </si>
  <si>
    <t>Developed By: Will Harman, Stream Mechanics &amp; Cidney Jones, EPR</t>
  </si>
  <si>
    <t>FAR&amp; NF</t>
  </si>
  <si>
    <t>Field &gt; 5</t>
  </si>
  <si>
    <t>Pool Spacing Ratio for Bc streams with slope &lt; 2% or B streams with slope between 2 and 4%</t>
  </si>
  <si>
    <t>Specific Conductivity in Mountain Region</t>
  </si>
  <si>
    <t xml:space="preserve">This sheet provides the formulas used to calculate index values from the field values entered on the Quantification Tool worksheet.  Formulas are fit to known delineations between Functioning, Functioning-At-Risk and Not Functioning. </t>
  </si>
  <si>
    <t>Formulas are of the form: Y = aX + b, OR Y = aX^2 + bX + c, OR Y = aX^3 + bX^2 + cX + d where Y is the index value and X is the field value.</t>
  </si>
  <si>
    <t>&gt;=70%</t>
  </si>
  <si>
    <t>&lt;= 20%</t>
  </si>
  <si>
    <t xml:space="preserve">This sheet is locked to prevent editing. If you have suggested changes based on watershed-specific data, please contact your local permitting agency or client. </t>
  </si>
  <si>
    <t>Reach Runoff</t>
  </si>
  <si>
    <t>Curve Number</t>
  </si>
  <si>
    <t>Concentrated Flow Points</t>
  </si>
  <si>
    <t>Soil Compaction</t>
  </si>
  <si>
    <t>Percent Impervious Cover (BMP Runoff)</t>
  </si>
  <si>
    <t>&gt;3</t>
  </si>
  <si>
    <t xml:space="preserve">Greater than 25% </t>
  </si>
  <si>
    <t>Between 10% and 25%</t>
  </si>
  <si>
    <t xml:space="preserve">Less than 10% </t>
  </si>
  <si>
    <t>Runoff - BMP Routine</t>
  </si>
  <si>
    <t>Specific Conductivity - BMP Routine</t>
  </si>
  <si>
    <t>Tom Barrett, EPR</t>
  </si>
  <si>
    <t>Version Last Updated</t>
  </si>
  <si>
    <t>Basal Area (sq.ft/ac)</t>
  </si>
  <si>
    <t>Left Stem Density (stems/acre)</t>
  </si>
  <si>
    <t>Right Stem Density (stems/acre)</t>
  </si>
  <si>
    <t>Riparian Vegetation Stem Density</t>
  </si>
  <si>
    <t>Size Class Pebble Count Analyzer (p-value)</t>
  </si>
  <si>
    <t>As-Built</t>
  </si>
  <si>
    <t>Overall Score</t>
  </si>
  <si>
    <t>Functional Feet</t>
  </si>
  <si>
    <t>Monitoring Year</t>
  </si>
  <si>
    <t>Last Monitoring Year</t>
  </si>
  <si>
    <t>Beta Spreadsheet Support: Erin Bennett and Ethan Blatt</t>
  </si>
  <si>
    <t>Beta Development Support: Periann Russell, Greg Melia, Michael Ellison, Lin Xu, Division of Mitigation Services</t>
  </si>
  <si>
    <t>Required for all assessments with forested floodplain reference conditions</t>
  </si>
  <si>
    <t>Projects with cattle access to the stream when projects are large enough to show lift</t>
  </si>
  <si>
    <t>Optional for projects with gravel beds and sandy banks where fining is occurring</t>
  </si>
  <si>
    <t>3. Leave values blank for field values that were not measured</t>
  </si>
  <si>
    <t>2. Users select values from a pull-down menu</t>
  </si>
  <si>
    <t>Less than 40% of the total catchment area is draining to the project reach.</t>
  </si>
  <si>
    <t>40 to 60% of the total catchment area is draining to the project reach.</t>
  </si>
  <si>
    <t>Greater than 60% of the total catchment area is draining to the project reach.</t>
  </si>
  <si>
    <t>No impoundment within 1 mile upstream or downstream of project area OR impoundment does not adversely affect project area but a blockage could exist outside of 1 mile and impact fish passage</t>
  </si>
  <si>
    <t>Potential for concentrated flow/impairments immediately upstream of the project and no treatments are in place</t>
  </si>
  <si>
    <t>Aggradation Ratio</t>
  </si>
  <si>
    <t>Project easements that include large portions of the catchment upstream of restoration activities</t>
  </si>
  <si>
    <t>Buffer Width - Stream Type A, B, or Bc</t>
  </si>
  <si>
    <t>Coefficients - Y = a * X + b</t>
  </si>
  <si>
    <t>Buffer Width - Stream type C or E</t>
  </si>
  <si>
    <t>Restoration Potential</t>
  </si>
  <si>
    <t># Pieces</t>
  </si>
  <si>
    <t>LWD # Pieces</t>
  </si>
  <si>
    <t>Monitoring Year:</t>
  </si>
  <si>
    <t>Date:</t>
  </si>
  <si>
    <t xml:space="preserve">Soil Compaction </t>
  </si>
  <si>
    <t>Coefficients - Y = a * X^2 + b * X + c</t>
  </si>
  <si>
    <t>Stream Type:</t>
  </si>
  <si>
    <t>Dominant BEHI/NBS:</t>
  </si>
  <si>
    <t>Yes/No:</t>
  </si>
  <si>
    <t>Programmatic Goals:</t>
  </si>
  <si>
    <t>Catchment Condition:</t>
  </si>
  <si>
    <t>Valley Type:</t>
  </si>
  <si>
    <t>Colluvial</t>
  </si>
  <si>
    <t>Unconfined Alluvial</t>
  </si>
  <si>
    <t>Confined Alluvial</t>
  </si>
  <si>
    <t>Existing Condition Scores (ECS)</t>
  </si>
  <si>
    <t>1. Values are referenced from the Quantification Tool Tab</t>
  </si>
  <si>
    <t>Function Based Parameter</t>
  </si>
  <si>
    <t xml:space="preserve">3. Users input values that are highlighted </t>
  </si>
  <si>
    <t>Impact Severity Tier:</t>
  </si>
  <si>
    <t>Explanation Text</t>
  </si>
  <si>
    <t>PCS Calculator   -   PCS = a * ECS</t>
  </si>
  <si>
    <t>FUNCTIONAL LOSS SUMMARY</t>
  </si>
  <si>
    <t>Impacts to function-based parameters</t>
  </si>
  <si>
    <t>Impact Severity Tier</t>
  </si>
  <si>
    <t>Condition Loss</t>
  </si>
  <si>
    <t>No impact</t>
  </si>
  <si>
    <t>Multiplier (a)</t>
  </si>
  <si>
    <t xml:space="preserve">Impacts to riparian vegetation and/or lateral stability. </t>
  </si>
  <si>
    <t xml:space="preserve">Impacts to riparian vegetation, lateral stability, and bed form diversity. </t>
  </si>
  <si>
    <t>N/A</t>
  </si>
  <si>
    <t>Proposed - Existing Stream Length (ft)</t>
  </si>
  <si>
    <t>Impacts to riparian vegetation, lateral stability, bed form diversity, and floodplain connectivity</t>
  </si>
  <si>
    <t>Existing Functional Feet (FF)</t>
  </si>
  <si>
    <t>Impacts to riparian vegetation, lateral stability, bed form diversity, and floodplain connectivity. Potential impacts to temperature, processing of organic matter, macroinvertebrate and fish communities.</t>
  </si>
  <si>
    <t>Proposed Functional Feet (FF)</t>
  </si>
  <si>
    <t>Removal of all aquatic functions except for hydrology. This tier is exclusive to pipes. Any pipe that is installed into a stream channel will automatically be included in this tier.</t>
  </si>
  <si>
    <t>Proposed FF - Existing FF</t>
  </si>
  <si>
    <t>Removal of all aquatic functions. This tier is exclusive to projects that completely fill the stream channel, so that the channel is eliminated.</t>
  </si>
  <si>
    <t>Functional Loss (%)</t>
  </si>
  <si>
    <t>Tier 1</t>
  </si>
  <si>
    <t>Tier 2</t>
  </si>
  <si>
    <t>Tier 3</t>
  </si>
  <si>
    <t>Tier 4</t>
  </si>
  <si>
    <t>Tier 5</t>
  </si>
  <si>
    <t>Tier 6</t>
  </si>
  <si>
    <t>Reach Score</t>
  </si>
  <si>
    <t>Tier 0</t>
  </si>
  <si>
    <t xml:space="preserve">Coldwater or cool water streams when projects are large enough to show lift 
or Stormwater BMPs on adjacent drainages </t>
  </si>
  <si>
    <t>Reach Description</t>
  </si>
  <si>
    <t>Restoration</t>
  </si>
  <si>
    <t>Impacts</t>
  </si>
  <si>
    <t>Mitigation - Credits</t>
  </si>
  <si>
    <t>Mitigation - Debits</t>
  </si>
  <si>
    <t>Funding and Advisory Support By: Will McDow &amp; Paxton Ramsdell, Environmental Defense Fund</t>
  </si>
  <si>
    <t>Percent Forested (Hydrology)</t>
  </si>
  <si>
    <t>Many NPDES permits within catchment or some within one mile of project reach</t>
  </si>
  <si>
    <t>A few NPDES permits within catchment and none within one mile of project reach</t>
  </si>
  <si>
    <t>No NPDES permits within catchment and none within one mile of project reach</t>
  </si>
  <si>
    <t>NPDES Permits (Physicochemical)</t>
  </si>
  <si>
    <t xml:space="preserve">Purpose: This form is used to determine the project's restoration potential. </t>
  </si>
  <si>
    <t>Functional Change (%)</t>
  </si>
  <si>
    <t>Change in Functional Condition (PCS - ECS)</t>
  </si>
  <si>
    <t>FUNCTIONAL CHANGE SUMMARY</t>
  </si>
  <si>
    <t>BMP FUNCTIONAL CHANGE SUMMARY</t>
  </si>
  <si>
    <t>Percent Condition Change</t>
  </si>
  <si>
    <t>Existing Functional Foot Score (FFS)</t>
  </si>
  <si>
    <t>Proposed Functional Foot Score (FFS)</t>
  </si>
  <si>
    <t>Functional Change</t>
  </si>
  <si>
    <t>Summer Daily Maximum  (°F)</t>
  </si>
  <si>
    <t>Sinuosity for E5 streams in Unconfined Alluvial Valleys</t>
  </si>
  <si>
    <t>Sinuosity for Unconfined Alluvial Valleys</t>
  </si>
  <si>
    <t>Sinuosity for Colluvial Valleys</t>
  </si>
  <si>
    <t>Sinuosity for Confined Alluvial Valleys</t>
  </si>
  <si>
    <t>Functioning</t>
  </si>
  <si>
    <t>Coefficients - Y = a * X^3 + b * X^2 + c * X + d</t>
  </si>
  <si>
    <t>JFSLAT (mg/L)</t>
  </si>
  <si>
    <t>Total Nitrogen (mg/L)</t>
  </si>
  <si>
    <t>Total Phosphorus (mg/L)</t>
  </si>
  <si>
    <t>NCIBI Score - Cape Fear, Neuse, Roanoke, and Tar-Pamlico River basins</t>
  </si>
  <si>
    <t xml:space="preserve">Coefficients - Y = a * X + b </t>
  </si>
  <si>
    <t>The following table is provided to assist project owners, regulators  and practitioners in selecting the appropriate parameters for each stream</t>
  </si>
  <si>
    <t xml:space="preserve">Overall Catchment Condition       </t>
  </si>
  <si>
    <t>Version 3 .0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</si>
</sst>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00"/>
    <numFmt numFmtId="167" formatCode="0.00000"/>
  </numFmts>
  <fonts count="2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b/>
      <sz val="14"/>
      <name val="Arial"/>
      <family val="2"/>
    </font>
    <font>
      <sz val="11"/>
      <name val="Arial"/>
      <family val="2"/>
    </font>
    <font>
      <b/>
      <sz val="12"/>
      <name val="Arial"/>
      <family val="2"/>
    </font>
    <font>
      <b/>
      <sz val="13"/>
      <color theme="1"/>
      <name val="Calibri"/>
      <family val="2"/>
      <scheme val="minor"/>
    </font>
    <font>
      <b/>
      <sz val="15"/>
      <color theme="1"/>
      <name val="Calibri"/>
      <family val="2"/>
      <scheme val="minor"/>
    </font>
    <font>
      <sz val="11"/>
      <name val="Calibri"/>
      <family val="2"/>
      <scheme val="minor"/>
    </font>
    <font>
      <b/>
      <sz val="14"/>
      <color theme="1"/>
      <name val="Calibri"/>
      <family val="2"/>
      <scheme val="minor"/>
    </font>
    <font>
      <sz val="22"/>
      <color theme="1"/>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theme="1"/>
      <name val="Arial"/>
      <family val="2"/>
    </font>
    <font>
      <sz val="14"/>
      <color theme="1"/>
      <name val="Calibri"/>
      <family val="2"/>
      <scheme val="minor"/>
    </font>
    <font>
      <sz val="11"/>
      <color theme="1"/>
      <name val="Calibri"/>
      <family val="2"/>
      <scheme val="minor"/>
    </font>
    <font>
      <sz val="18"/>
      <color rgb="FFFF0000"/>
      <name val="Calibri"/>
      <family val="2"/>
      <scheme val="minor"/>
    </font>
    <font>
      <i/>
      <sz val="12"/>
      <color theme="1"/>
      <name val="Calibri"/>
      <family val="2"/>
      <scheme val="minor"/>
    </font>
    <font>
      <sz val="10"/>
      <color theme="1"/>
      <name val="Calibri"/>
      <family val="2"/>
      <scheme val="minor"/>
    </font>
    <font>
      <b/>
      <i/>
      <sz val="12"/>
      <color theme="1"/>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59999389629810485"/>
        <bgColor indexed="65"/>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n">
        <color indexed="64"/>
      </bottom>
      <diagonal/>
    </border>
    <border>
      <left/>
      <right style="thick">
        <color indexed="64"/>
      </right>
      <top style="thick">
        <color indexed="64"/>
      </top>
      <bottom/>
      <diagonal/>
    </border>
    <border>
      <left style="thick">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ck">
        <color indexed="64"/>
      </right>
      <top/>
      <bottom/>
      <diagonal/>
    </border>
    <border>
      <left style="thick">
        <color indexed="64"/>
      </left>
      <right/>
      <top/>
      <bottom/>
      <diagonal/>
    </border>
    <border>
      <left/>
      <right style="thick">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left style="hair">
        <color indexed="64"/>
      </left>
      <right style="hair">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4" fillId="0" borderId="0"/>
    <xf numFmtId="9" fontId="21" fillId="0" borderId="0" applyFont="0" applyFill="0" applyBorder="0" applyAlignment="0" applyProtection="0"/>
    <xf numFmtId="0" fontId="21" fillId="16" borderId="0" applyNumberFormat="0" applyBorder="0" applyAlignment="0" applyProtection="0"/>
  </cellStyleXfs>
  <cellXfs count="591">
    <xf numFmtId="0" fontId="0" fillId="0" borderId="0" xfId="0"/>
    <xf numFmtId="0" fontId="0" fillId="0" borderId="0" xfId="0" applyFill="1" applyBorder="1"/>
    <xf numFmtId="0" fontId="0" fillId="0" borderId="0" xfId="0" applyFill="1" applyBorder="1" applyAlignment="1">
      <alignment vertical="center" wrapText="1"/>
    </xf>
    <xf numFmtId="0" fontId="1" fillId="0" borderId="0" xfId="0" applyFont="1" applyAlignment="1"/>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2" borderId="5" xfId="0" applyFill="1" applyBorder="1" applyAlignment="1">
      <alignment vertical="center" wrapText="1"/>
    </xf>
    <xf numFmtId="0" fontId="0" fillId="3" borderId="5"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0" borderId="0" xfId="0" applyFill="1" applyAlignment="1">
      <alignment horizontal="center"/>
    </xf>
    <xf numFmtId="0" fontId="0" fillId="0" borderId="0" xfId="0" applyFill="1"/>
    <xf numFmtId="0" fontId="0" fillId="0" borderId="0" xfId="0"/>
    <xf numFmtId="0" fontId="1" fillId="0" borderId="0" xfId="0" applyFont="1"/>
    <xf numFmtId="0" fontId="0" fillId="0" borderId="0" xfId="0" applyAlignment="1">
      <alignment vertical="center"/>
    </xf>
    <xf numFmtId="0" fontId="0" fillId="0" borderId="0" xfId="0" applyFill="1" applyBorder="1" applyAlignment="1">
      <alignment vertical="center"/>
    </xf>
    <xf numFmtId="0" fontId="0" fillId="0" borderId="0" xfId="0" applyBorder="1" applyAlignment="1">
      <alignment horizontal="center"/>
    </xf>
    <xf numFmtId="2" fontId="0" fillId="0" borderId="0" xfId="0" applyNumberFormat="1"/>
    <xf numFmtId="0" fontId="0" fillId="0" borderId="2" xfId="0" applyFill="1" applyBorder="1" applyAlignment="1">
      <alignment vertical="center" wrapText="1"/>
    </xf>
    <xf numFmtId="0" fontId="0" fillId="0" borderId="0" xfId="0" applyBorder="1"/>
    <xf numFmtId="0" fontId="6" fillId="0" borderId="0" xfId="1" applyFont="1"/>
    <xf numFmtId="0" fontId="6" fillId="6" borderId="0" xfId="1" applyFont="1" applyFill="1" applyBorder="1" applyAlignment="1">
      <alignment horizontal="left" vertical="center"/>
    </xf>
    <xf numFmtId="0" fontId="6" fillId="0" borderId="0" xfId="1" applyFont="1" applyAlignment="1">
      <alignment horizontal="left"/>
    </xf>
    <xf numFmtId="0" fontId="6" fillId="0" borderId="0" xfId="1" applyFont="1" applyAlignment="1">
      <alignment vertical="center" wrapText="1"/>
    </xf>
    <xf numFmtId="0" fontId="7" fillId="8" borderId="20" xfId="1" applyFont="1" applyFill="1" applyBorder="1" applyAlignment="1">
      <alignment vertical="center" wrapText="1"/>
    </xf>
    <xf numFmtId="0" fontId="7" fillId="8" borderId="23" xfId="1" applyFont="1" applyFill="1" applyBorder="1" applyAlignment="1">
      <alignment vertical="center" wrapText="1"/>
    </xf>
    <xf numFmtId="0" fontId="6" fillId="8" borderId="30" xfId="1" applyFont="1" applyFill="1" applyBorder="1" applyAlignment="1">
      <alignment vertical="center"/>
    </xf>
    <xf numFmtId="0" fontId="8" fillId="0" borderId="0" xfId="0" applyFont="1"/>
    <xf numFmtId="0" fontId="4" fillId="0" borderId="0" xfId="1" applyFont="1"/>
    <xf numFmtId="0" fontId="4" fillId="8" borderId="24" xfId="1" applyFont="1" applyFill="1" applyBorder="1"/>
    <xf numFmtId="0" fontId="4" fillId="8" borderId="25" xfId="1" applyFont="1" applyFill="1" applyBorder="1"/>
    <xf numFmtId="0" fontId="4" fillId="0" borderId="26" xfId="1" applyFont="1" applyBorder="1" applyAlignment="1">
      <alignment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8"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0" xfId="1" applyFont="1" applyFill="1"/>
    <xf numFmtId="0" fontId="4" fillId="8" borderId="29" xfId="1" applyFont="1" applyFill="1" applyBorder="1"/>
    <xf numFmtId="0" fontId="4" fillId="8" borderId="30" xfId="1" applyFont="1" applyFill="1" applyBorder="1"/>
    <xf numFmtId="0" fontId="4" fillId="8" borderId="31" xfId="1" applyFont="1" applyFill="1" applyBorder="1"/>
    <xf numFmtId="14" fontId="6" fillId="6" borderId="0" xfId="1" applyNumberFormat="1" applyFont="1" applyFill="1" applyBorder="1" applyAlignment="1">
      <alignment horizontal="left" vertical="center"/>
    </xf>
    <xf numFmtId="2" fontId="1" fillId="0" borderId="0" xfId="0" applyNumberFormat="1" applyFont="1" applyBorder="1" applyAlignment="1">
      <alignment horizontal="center"/>
    </xf>
    <xf numFmtId="0" fontId="7" fillId="8" borderId="22" xfId="1" applyFont="1" applyFill="1" applyBorder="1" applyAlignment="1">
      <alignment horizontal="center" vertical="center" wrapText="1"/>
    </xf>
    <xf numFmtId="0" fontId="6" fillId="0" borderId="0" xfId="1" applyFont="1" applyAlignment="1">
      <alignment horizontal="left" vertical="center" wrapText="1"/>
    </xf>
    <xf numFmtId="0" fontId="7" fillId="8" borderId="8" xfId="1" applyFont="1" applyFill="1" applyBorder="1" applyAlignment="1">
      <alignment horizontal="center" vertical="center" wrapText="1"/>
    </xf>
    <xf numFmtId="0" fontId="4" fillId="0" borderId="26" xfId="1" applyFont="1" applyFill="1" applyBorder="1" applyAlignment="1">
      <alignment vertical="center" wrapText="1"/>
    </xf>
    <xf numFmtId="0" fontId="4" fillId="0" borderId="26" xfId="1" applyFont="1" applyFill="1" applyBorder="1" applyAlignment="1">
      <alignment horizontal="center" vertical="center" wrapText="1"/>
    </xf>
    <xf numFmtId="0" fontId="4" fillId="0" borderId="27" xfId="1" applyFont="1" applyFill="1" applyBorder="1" applyAlignment="1">
      <alignment horizontal="center" vertical="center" wrapText="1"/>
    </xf>
    <xf numFmtId="0" fontId="4" fillId="0" borderId="34"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Fill="1" applyBorder="1" applyAlignment="1">
      <alignment horizontal="center" vertical="center" wrapText="1"/>
    </xf>
    <xf numFmtId="0" fontId="4" fillId="0" borderId="37" xfId="1" applyFont="1" applyBorder="1" applyAlignment="1">
      <alignment horizontal="center" vertical="center" wrapText="1"/>
    </xf>
    <xf numFmtId="0" fontId="1" fillId="0" borderId="0" xfId="0" applyFont="1" applyBorder="1" applyAlignment="1"/>
    <xf numFmtId="0" fontId="0" fillId="0" borderId="0" xfId="0" applyBorder="1" applyAlignment="1">
      <alignment vertical="center" wrapText="1"/>
    </xf>
    <xf numFmtId="0" fontId="0" fillId="9" borderId="8" xfId="0" applyFill="1" applyBorder="1" applyAlignment="1">
      <alignment horizontal="left" vertical="center"/>
    </xf>
    <xf numFmtId="0" fontId="0" fillId="9" borderId="7" xfId="0" applyFill="1" applyBorder="1" applyAlignment="1">
      <alignment horizontal="left" vertical="center"/>
    </xf>
    <xf numFmtId="0" fontId="0" fillId="11" borderId="7" xfId="0" applyFont="1" applyFill="1" applyBorder="1" applyAlignment="1">
      <alignment horizontal="left" vertical="center"/>
    </xf>
    <xf numFmtId="0" fontId="0" fillId="12" borderId="7" xfId="0" applyFill="1" applyBorder="1" applyAlignment="1">
      <alignment horizontal="left" vertical="center"/>
    </xf>
    <xf numFmtId="0" fontId="0" fillId="12" borderId="9" xfId="0" applyFill="1" applyBorder="1" applyAlignment="1">
      <alignment horizontal="left" vertical="center"/>
    </xf>
    <xf numFmtId="0" fontId="0" fillId="0" borderId="44" xfId="0" applyBorder="1" applyAlignment="1">
      <alignment vertical="center" wrapText="1"/>
    </xf>
    <xf numFmtId="0" fontId="10" fillId="0" borderId="2" xfId="0" applyFont="1" applyBorder="1" applyAlignment="1">
      <alignment vertical="center" wrapText="1"/>
    </xf>
    <xf numFmtId="0" fontId="0" fillId="0" borderId="0" xfId="0" applyFill="1" applyProtection="1"/>
    <xf numFmtId="0" fontId="0" fillId="0" borderId="0" xfId="0" applyProtection="1"/>
    <xf numFmtId="0" fontId="0" fillId="12" borderId="41" xfId="0" applyFill="1" applyBorder="1" applyAlignment="1">
      <alignment horizontal="left" vertical="center"/>
    </xf>
    <xf numFmtId="0" fontId="0" fillId="13" borderId="9" xfId="0" applyFill="1" applyBorder="1" applyAlignment="1">
      <alignment horizontal="left" vertical="center"/>
    </xf>
    <xf numFmtId="0" fontId="0" fillId="10" borderId="21" xfId="0" applyFont="1" applyFill="1" applyBorder="1" applyAlignment="1">
      <alignment horizontal="left" vertical="center"/>
    </xf>
    <xf numFmtId="0" fontId="0" fillId="11" borderId="41" xfId="0" applyFont="1" applyFill="1" applyBorder="1" applyAlignment="1">
      <alignment horizontal="left" vertical="center"/>
    </xf>
    <xf numFmtId="0" fontId="0" fillId="11" borderId="8" xfId="0" applyFont="1" applyFill="1" applyBorder="1" applyAlignment="1">
      <alignment horizontal="left" vertical="center"/>
    </xf>
    <xf numFmtId="0" fontId="0" fillId="11" borderId="9" xfId="0" applyFill="1" applyBorder="1" applyAlignment="1">
      <alignment horizontal="left" vertical="center"/>
    </xf>
    <xf numFmtId="0" fontId="0" fillId="10" borderId="8" xfId="0" applyFont="1" applyFill="1" applyBorder="1" applyAlignment="1">
      <alignment horizontal="left" vertical="center"/>
    </xf>
    <xf numFmtId="0" fontId="11" fillId="0" borderId="0" xfId="0" applyFont="1"/>
    <xf numFmtId="0" fontId="1" fillId="15" borderId="7" xfId="0" applyFont="1" applyFill="1" applyBorder="1" applyAlignment="1">
      <alignment horizontal="center"/>
    </xf>
    <xf numFmtId="0" fontId="1" fillId="15" borderId="7" xfId="0" applyFont="1" applyFill="1" applyBorder="1"/>
    <xf numFmtId="0" fontId="0" fillId="9" borderId="7" xfId="0" applyFill="1" applyBorder="1"/>
    <xf numFmtId="0" fontId="0" fillId="11" borderId="7" xfId="0" applyFill="1" applyBorder="1"/>
    <xf numFmtId="0" fontId="0" fillId="11" borderId="7" xfId="0" applyFill="1" applyBorder="1" applyAlignment="1">
      <alignment vertical="center"/>
    </xf>
    <xf numFmtId="0" fontId="0" fillId="11" borderId="7" xfId="0" applyFill="1" applyBorder="1" applyAlignment="1">
      <alignment horizontal="left" vertical="center"/>
    </xf>
    <xf numFmtId="0" fontId="0" fillId="12" borderId="7" xfId="0" applyFill="1" applyBorder="1" applyAlignment="1">
      <alignment vertical="center"/>
    </xf>
    <xf numFmtId="0" fontId="0" fillId="13" borderId="7" xfId="0" applyFill="1" applyBorder="1" applyAlignment="1">
      <alignment horizontal="left" vertical="center"/>
    </xf>
    <xf numFmtId="0" fontId="0" fillId="13" borderId="7" xfId="0" applyFill="1" applyBorder="1" applyAlignment="1">
      <alignment vertical="center"/>
    </xf>
    <xf numFmtId="0" fontId="0" fillId="10" borderId="7" xfId="0" applyFill="1" applyBorder="1" applyAlignment="1">
      <alignment vertical="center"/>
    </xf>
    <xf numFmtId="0" fontId="4" fillId="0" borderId="51" xfId="1" applyFont="1" applyBorder="1" applyAlignment="1">
      <alignment vertical="center" wrapText="1"/>
    </xf>
    <xf numFmtId="0" fontId="4" fillId="0" borderId="51" xfId="1" applyFont="1" applyBorder="1" applyAlignment="1">
      <alignment horizontal="center" vertical="center" wrapText="1"/>
    </xf>
    <xf numFmtId="0" fontId="0" fillId="0" borderId="50" xfId="0" applyBorder="1"/>
    <xf numFmtId="0" fontId="15" fillId="0" borderId="7" xfId="0" applyFont="1" applyBorder="1"/>
    <xf numFmtId="0" fontId="15" fillId="8" borderId="7" xfId="0" applyFont="1" applyFill="1" applyBorder="1" applyAlignment="1" applyProtection="1">
      <alignment horizontal="center"/>
      <protection locked="0"/>
    </xf>
    <xf numFmtId="0" fontId="15" fillId="0" borderId="7" xfId="0" applyFont="1" applyFill="1" applyBorder="1"/>
    <xf numFmtId="2" fontId="15" fillId="0" borderId="7" xfId="0" applyNumberFormat="1" applyFont="1" applyBorder="1" applyAlignment="1" applyProtection="1">
      <alignment horizontal="center" vertical="center"/>
    </xf>
    <xf numFmtId="0" fontId="15" fillId="0" borderId="7" xfId="0" applyFont="1" applyBorder="1" applyAlignment="1" applyProtection="1">
      <alignment horizontal="center"/>
    </xf>
    <xf numFmtId="1" fontId="15" fillId="0" borderId="7" xfId="0" applyNumberFormat="1" applyFont="1" applyBorder="1" applyAlignment="1" applyProtection="1">
      <alignment horizontal="center"/>
    </xf>
    <xf numFmtId="0" fontId="15" fillId="0" borderId="7" xfId="0" applyFont="1" applyBorder="1" applyAlignment="1">
      <alignment horizontal="center"/>
    </xf>
    <xf numFmtId="2" fontId="15" fillId="0" borderId="7" xfId="0" applyNumberFormat="1" applyFont="1" applyBorder="1" applyAlignment="1">
      <alignment horizontal="center"/>
    </xf>
    <xf numFmtId="0" fontId="16" fillId="0" borderId="7" xfId="0" applyFont="1" applyBorder="1" applyAlignment="1">
      <alignment horizontal="center"/>
    </xf>
    <xf numFmtId="0" fontId="16" fillId="0" borderId="7" xfId="0" applyFont="1" applyFill="1" applyBorder="1" applyAlignment="1">
      <alignment horizontal="center"/>
    </xf>
    <xf numFmtId="0" fontId="15" fillId="9" borderId="8" xfId="0" applyFont="1" applyFill="1" applyBorder="1" applyAlignment="1">
      <alignment horizontal="left" vertical="center"/>
    </xf>
    <xf numFmtId="0" fontId="15" fillId="9" borderId="0" xfId="0" applyFont="1" applyFill="1" applyBorder="1"/>
    <xf numFmtId="0" fontId="15" fillId="9" borderId="0" xfId="0" applyFont="1" applyFill="1" applyBorder="1" applyAlignment="1">
      <alignment horizontal="center"/>
    </xf>
    <xf numFmtId="0" fontId="15" fillId="9" borderId="7" xfId="0" applyFont="1" applyFill="1" applyBorder="1" applyAlignment="1">
      <alignment horizontal="left" vertical="center"/>
    </xf>
    <xf numFmtId="0" fontId="15" fillId="9" borderId="11" xfId="0" applyFont="1" applyFill="1" applyBorder="1"/>
    <xf numFmtId="0" fontId="15" fillId="9" borderId="38" xfId="0" applyFont="1" applyFill="1" applyBorder="1"/>
    <xf numFmtId="0" fontId="15" fillId="10" borderId="0" xfId="0" applyFont="1" applyFill="1" applyBorder="1"/>
    <xf numFmtId="0" fontId="15" fillId="10" borderId="0" xfId="0" applyFont="1" applyFill="1" applyBorder="1" applyAlignment="1">
      <alignment horizontal="center"/>
    </xf>
    <xf numFmtId="0" fontId="15" fillId="10" borderId="38" xfId="0" applyFont="1" applyFill="1" applyBorder="1"/>
    <xf numFmtId="0" fontId="15" fillId="10" borderId="38" xfId="0" applyFont="1" applyFill="1" applyBorder="1" applyAlignment="1">
      <alignment horizontal="center"/>
    </xf>
    <xf numFmtId="0" fontId="15" fillId="11" borderId="7" xfId="0" applyFont="1" applyFill="1" applyBorder="1" applyAlignment="1">
      <alignment horizontal="left" vertical="center"/>
    </xf>
    <xf numFmtId="0" fontId="15" fillId="11" borderId="11" xfId="0" applyFont="1" applyFill="1" applyBorder="1"/>
    <xf numFmtId="0" fontId="15" fillId="11" borderId="0" xfId="0" applyFont="1" applyFill="1" applyBorder="1"/>
    <xf numFmtId="0" fontId="15" fillId="11" borderId="0" xfId="0" applyFont="1" applyFill="1" applyBorder="1" applyAlignment="1">
      <alignment horizontal="center"/>
    </xf>
    <xf numFmtId="0" fontId="17" fillId="11" borderId="0" xfId="0" applyFont="1" applyFill="1" applyBorder="1"/>
    <xf numFmtId="0" fontId="15" fillId="11" borderId="22" xfId="0" applyFont="1" applyFill="1" applyBorder="1"/>
    <xf numFmtId="0" fontId="15" fillId="11" borderId="32" xfId="0" applyFont="1" applyFill="1" applyBorder="1"/>
    <xf numFmtId="0" fontId="15" fillId="11" borderId="39" xfId="0" applyFont="1" applyFill="1" applyBorder="1"/>
    <xf numFmtId="0" fontId="15" fillId="11" borderId="42" xfId="0" applyFont="1" applyFill="1" applyBorder="1"/>
    <xf numFmtId="0" fontId="18" fillId="11" borderId="42" xfId="0" applyFont="1" applyFill="1" applyBorder="1" applyAlignment="1">
      <alignment horizontal="center" vertical="center"/>
    </xf>
    <xf numFmtId="0" fontId="15" fillId="11" borderId="38" xfId="0" applyFont="1" applyFill="1" applyBorder="1"/>
    <xf numFmtId="0" fontId="15" fillId="11" borderId="38" xfId="0" applyFont="1" applyFill="1" applyBorder="1" applyAlignment="1">
      <alignment horizontal="center" vertical="center"/>
    </xf>
    <xf numFmtId="0" fontId="15" fillId="11" borderId="38" xfId="0" applyFont="1" applyFill="1" applyBorder="1" applyAlignment="1">
      <alignment horizontal="center"/>
    </xf>
    <xf numFmtId="0" fontId="15" fillId="12" borderId="41" xfId="0" applyFont="1" applyFill="1" applyBorder="1" applyAlignment="1">
      <alignment horizontal="left" vertical="center"/>
    </xf>
    <xf numFmtId="0" fontId="15" fillId="12" borderId="0" xfId="0" applyFont="1" applyFill="1" applyBorder="1"/>
    <xf numFmtId="0" fontId="15" fillId="12" borderId="0" xfId="0" applyFont="1" applyFill="1" applyBorder="1" applyAlignment="1">
      <alignment horizontal="center"/>
    </xf>
    <xf numFmtId="0" fontId="15" fillId="12" borderId="7" xfId="0" applyFont="1" applyFill="1" applyBorder="1" applyAlignment="1">
      <alignment horizontal="left" vertical="center"/>
    </xf>
    <xf numFmtId="0" fontId="15" fillId="12" borderId="11" xfId="0" applyFont="1" applyFill="1" applyBorder="1"/>
    <xf numFmtId="0" fontId="15" fillId="12" borderId="12" xfId="0" applyFont="1" applyFill="1" applyBorder="1" applyAlignment="1">
      <alignment horizontal="center"/>
    </xf>
    <xf numFmtId="0" fontId="15" fillId="12" borderId="11" xfId="0" applyFont="1" applyFill="1" applyBorder="1" applyAlignment="1">
      <alignment horizontal="center"/>
    </xf>
    <xf numFmtId="0" fontId="15" fillId="12" borderId="9" xfId="0" applyFont="1" applyFill="1" applyBorder="1" applyAlignment="1">
      <alignment horizontal="left" vertical="center"/>
    </xf>
    <xf numFmtId="0" fontId="15" fillId="12" borderId="38" xfId="0" applyFont="1" applyFill="1" applyBorder="1"/>
    <xf numFmtId="0" fontId="15" fillId="13" borderId="38" xfId="0" applyFont="1" applyFill="1" applyBorder="1"/>
    <xf numFmtId="0" fontId="15" fillId="13" borderId="9" xfId="0" applyFont="1" applyFill="1" applyBorder="1" applyAlignment="1">
      <alignment horizontal="left" vertical="center"/>
    </xf>
    <xf numFmtId="0" fontId="15" fillId="13" borderId="38" xfId="0" applyFont="1" applyFill="1" applyBorder="1" applyAlignment="1">
      <alignment horizontal="center"/>
    </xf>
    <xf numFmtId="0" fontId="15" fillId="11" borderId="10" xfId="0" applyFont="1" applyFill="1" applyBorder="1"/>
    <xf numFmtId="0" fontId="15" fillId="11" borderId="42" xfId="0" applyFont="1" applyFill="1" applyBorder="1" applyAlignment="1">
      <alignment horizontal="center"/>
    </xf>
    <xf numFmtId="0" fontId="15" fillId="12" borderId="10" xfId="0" applyFont="1" applyFill="1" applyBorder="1"/>
    <xf numFmtId="0" fontId="15" fillId="12" borderId="42" xfId="0" applyFont="1" applyFill="1" applyBorder="1" applyAlignment="1">
      <alignment horizontal="center"/>
    </xf>
    <xf numFmtId="0" fontId="15" fillId="12" borderId="39" xfId="0" applyFont="1" applyFill="1" applyBorder="1"/>
    <xf numFmtId="0" fontId="15" fillId="0" borderId="10" xfId="0" applyFont="1" applyFill="1" applyBorder="1" applyAlignment="1">
      <alignment horizontal="left"/>
    </xf>
    <xf numFmtId="0" fontId="16" fillId="8" borderId="7" xfId="0" applyFont="1" applyFill="1" applyBorder="1" applyAlignment="1" applyProtection="1">
      <alignment horizontal="center"/>
      <protection locked="0"/>
    </xf>
    <xf numFmtId="0" fontId="15" fillId="0" borderId="8" xfId="0" applyFont="1" applyBorder="1"/>
    <xf numFmtId="0" fontId="15" fillId="0" borderId="8" xfId="0" applyFont="1" applyBorder="1" applyAlignment="1">
      <alignment horizontal="center"/>
    </xf>
    <xf numFmtId="0" fontId="16" fillId="0" borderId="7" xfId="0" applyFont="1" applyBorder="1"/>
    <xf numFmtId="0" fontId="15" fillId="0" borderId="45" xfId="0" applyFont="1" applyFill="1" applyBorder="1"/>
    <xf numFmtId="2" fontId="15" fillId="0" borderId="45" xfId="0" applyNumberFormat="1" applyFont="1" applyBorder="1" applyAlignment="1">
      <alignment horizontal="center"/>
    </xf>
    <xf numFmtId="0" fontId="0" fillId="0" borderId="54" xfId="0" applyBorder="1"/>
    <xf numFmtId="0" fontId="0" fillId="0" borderId="49" xfId="0" applyBorder="1"/>
    <xf numFmtId="0" fontId="14" fillId="0" borderId="0" xfId="0" applyFont="1" applyFill="1"/>
    <xf numFmtId="0" fontId="0" fillId="0" borderId="0" xfId="0" applyFill="1" applyAlignment="1">
      <alignment vertical="center"/>
    </xf>
    <xf numFmtId="0" fontId="15" fillId="9" borderId="7" xfId="0" applyFont="1" applyFill="1" applyBorder="1" applyAlignment="1">
      <alignment horizontal="left"/>
    </xf>
    <xf numFmtId="0" fontId="15" fillId="10" borderId="7" xfId="0" applyFont="1" applyFill="1" applyBorder="1" applyAlignment="1">
      <alignment horizontal="left"/>
    </xf>
    <xf numFmtId="0" fontId="15" fillId="11" borderId="7" xfId="0" applyFont="1" applyFill="1" applyBorder="1" applyAlignment="1">
      <alignment horizontal="left"/>
    </xf>
    <xf numFmtId="0" fontId="15" fillId="5" borderId="7" xfId="0" applyFont="1" applyFill="1" applyBorder="1" applyAlignment="1">
      <alignment horizontal="left"/>
    </xf>
    <xf numFmtId="0" fontId="15" fillId="13" borderId="7" xfId="0" applyFont="1" applyFill="1" applyBorder="1" applyAlignment="1">
      <alignment horizontal="left"/>
    </xf>
    <xf numFmtId="164" fontId="0" fillId="0" borderId="2" xfId="0" applyNumberFormat="1" applyBorder="1" applyAlignment="1">
      <alignment vertical="center" wrapText="1"/>
    </xf>
    <xf numFmtId="0" fontId="15" fillId="0" borderId="10" xfId="0" applyFont="1" applyBorder="1" applyAlignment="1" applyProtection="1">
      <alignment horizontal="left"/>
    </xf>
    <xf numFmtId="0" fontId="15" fillId="0" borderId="11" xfId="0" applyFont="1" applyBorder="1" applyAlignment="1" applyProtection="1">
      <alignment horizontal="left"/>
    </xf>
    <xf numFmtId="2" fontId="15" fillId="11" borderId="7" xfId="0" applyNumberFormat="1" applyFont="1" applyFill="1" applyBorder="1" applyAlignment="1">
      <alignment horizontal="center"/>
    </xf>
    <xf numFmtId="2" fontId="15" fillId="13" borderId="7" xfId="0" applyNumberFormat="1" applyFont="1" applyFill="1" applyBorder="1" applyAlignment="1">
      <alignment horizontal="center"/>
    </xf>
    <xf numFmtId="2" fontId="15" fillId="9" borderId="8" xfId="0" applyNumberFormat="1" applyFont="1" applyFill="1" applyBorder="1" applyAlignment="1">
      <alignment horizontal="center"/>
    </xf>
    <xf numFmtId="2" fontId="15" fillId="11" borderId="41" xfId="0" applyNumberFormat="1" applyFont="1" applyFill="1" applyBorder="1" applyAlignment="1">
      <alignment horizontal="center"/>
    </xf>
    <xf numFmtId="2" fontId="15" fillId="12" borderId="8" xfId="0" applyNumberFormat="1" applyFont="1" applyFill="1" applyBorder="1" applyAlignment="1">
      <alignment horizontal="center"/>
    </xf>
    <xf numFmtId="2" fontId="15" fillId="12" borderId="7" xfId="0" applyNumberFormat="1" applyFont="1" applyFill="1" applyBorder="1" applyAlignment="1">
      <alignment horizontal="center"/>
    </xf>
    <xf numFmtId="2" fontId="15" fillId="12" borderId="41" xfId="0" applyNumberFormat="1" applyFont="1" applyFill="1" applyBorder="1" applyAlignment="1">
      <alignment horizontal="center"/>
    </xf>
    <xf numFmtId="2" fontId="15" fillId="13" borderId="9" xfId="0" applyNumberFormat="1" applyFont="1" applyFill="1" applyBorder="1" applyAlignment="1">
      <alignment horizontal="center"/>
    </xf>
    <xf numFmtId="0" fontId="0" fillId="0" borderId="0" xfId="0" applyAlignment="1">
      <alignment horizontal="center"/>
    </xf>
    <xf numFmtId="0" fontId="15" fillId="0" borderId="10" xfId="0" applyFont="1" applyBorder="1" applyAlignment="1" applyProtection="1"/>
    <xf numFmtId="0" fontId="15" fillId="0" borderId="11" xfId="0" applyFont="1" applyBorder="1" applyAlignment="1" applyProtection="1"/>
    <xf numFmtId="0" fontId="15" fillId="0" borderId="22" xfId="0" applyFont="1" applyBorder="1" applyAlignment="1" applyProtection="1"/>
    <xf numFmtId="0" fontId="15" fillId="0" borderId="42" xfId="0" applyFont="1" applyBorder="1" applyAlignment="1" applyProtection="1"/>
    <xf numFmtId="0" fontId="15" fillId="0" borderId="39" xfId="0" applyFont="1" applyBorder="1" applyAlignment="1" applyProtection="1"/>
    <xf numFmtId="0" fontId="15" fillId="0" borderId="38" xfId="0" applyFont="1" applyBorder="1" applyAlignment="1" applyProtection="1"/>
    <xf numFmtId="0" fontId="15" fillId="0" borderId="22" xfId="0" applyFont="1" applyBorder="1" applyAlignment="1" applyProtection="1">
      <alignment horizontal="left"/>
    </xf>
    <xf numFmtId="0" fontId="15" fillId="0" borderId="42" xfId="0" applyFont="1" applyBorder="1" applyAlignment="1" applyProtection="1">
      <alignment horizontal="left"/>
    </xf>
    <xf numFmtId="0" fontId="15" fillId="0" borderId="11" xfId="0" applyFont="1" applyBorder="1" applyAlignment="1"/>
    <xf numFmtId="9" fontId="15" fillId="0" borderId="7" xfId="2" applyFont="1" applyBorder="1" applyAlignment="1" applyProtection="1">
      <alignment horizontal="center" vertical="center"/>
    </xf>
    <xf numFmtId="0" fontId="0" fillId="0" borderId="0" xfId="0" applyAlignment="1">
      <alignment horizontal="center"/>
    </xf>
    <xf numFmtId="0" fontId="0" fillId="0" borderId="0" xfId="0" applyAlignment="1"/>
    <xf numFmtId="1" fontId="0" fillId="0" borderId="2" xfId="0" applyNumberFormat="1" applyBorder="1" applyAlignment="1">
      <alignment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left"/>
    </xf>
    <xf numFmtId="165" fontId="0" fillId="0" borderId="2" xfId="0" applyNumberFormat="1" applyBorder="1"/>
    <xf numFmtId="0" fontId="0" fillId="0" borderId="0" xfId="0" applyFill="1" applyBorder="1" applyAlignment="1"/>
    <xf numFmtId="0" fontId="0" fillId="0" borderId="0" xfId="0" applyBorder="1" applyAlignment="1">
      <alignment vertical="center"/>
    </xf>
    <xf numFmtId="0" fontId="0" fillId="0" borderId="0" xfId="0" applyFill="1" applyBorder="1" applyAlignment="1">
      <alignment horizontal="center"/>
    </xf>
    <xf numFmtId="0" fontId="0" fillId="0" borderId="0" xfId="0" applyFont="1" applyFill="1"/>
    <xf numFmtId="0" fontId="0" fillId="0" borderId="0" xfId="0" applyFont="1" applyFill="1" applyAlignment="1">
      <alignment horizontal="center"/>
    </xf>
    <xf numFmtId="0" fontId="1" fillId="0" borderId="0" xfId="0" applyFont="1" applyFill="1"/>
    <xf numFmtId="0" fontId="0" fillId="0" borderId="0" xfId="0" applyFont="1" applyFill="1" applyAlignment="1">
      <alignment vertical="center"/>
    </xf>
    <xf numFmtId="0" fontId="0" fillId="0" borderId="0" xfId="0" applyFont="1" applyFill="1" applyBorder="1" applyAlignment="1">
      <alignment horizontal="center"/>
    </xf>
    <xf numFmtId="0" fontId="0" fillId="0" borderId="0" xfId="0" applyFill="1" applyAlignment="1">
      <alignment horizontal="center"/>
    </xf>
    <xf numFmtId="1" fontId="0" fillId="0" borderId="0" xfId="0" applyNumberFormat="1" applyBorder="1" applyAlignment="1">
      <alignment vertical="center" wrapText="1"/>
    </xf>
    <xf numFmtId="0" fontId="15" fillId="0" borderId="7" xfId="0" applyFont="1" applyFill="1" applyBorder="1" applyAlignment="1">
      <alignment horizontal="center"/>
    </xf>
    <xf numFmtId="0" fontId="15" fillId="0" borderId="12" xfId="0" applyFont="1" applyFill="1" applyBorder="1" applyAlignment="1">
      <alignment horizontal="center"/>
    </xf>
    <xf numFmtId="0" fontId="15" fillId="12" borderId="41" xfId="0" applyFont="1" applyFill="1" applyBorder="1" applyAlignment="1">
      <alignment horizontal="left" vertical="center"/>
    </xf>
    <xf numFmtId="0" fontId="15" fillId="12" borderId="9" xfId="0" applyFont="1" applyFill="1" applyBorder="1" applyAlignment="1">
      <alignment horizontal="left" vertical="center"/>
    </xf>
    <xf numFmtId="1" fontId="0" fillId="0" borderId="0" xfId="0" applyNumberFormat="1" applyBorder="1"/>
    <xf numFmtId="2" fontId="0" fillId="0" borderId="0" xfId="0" applyNumberFormat="1" applyBorder="1"/>
    <xf numFmtId="2" fontId="10" fillId="0" borderId="2" xfId="0" applyNumberFormat="1" applyFont="1" applyBorder="1" applyAlignment="1">
      <alignment vertical="center" wrapText="1"/>
    </xf>
    <xf numFmtId="0" fontId="0" fillId="0" borderId="0" xfId="0" applyFill="1" applyAlignment="1">
      <alignment horizontal="center"/>
    </xf>
    <xf numFmtId="2" fontId="15" fillId="0" borderId="7" xfId="2" applyNumberFormat="1" applyFont="1" applyBorder="1" applyAlignment="1">
      <alignment horizontal="center"/>
    </xf>
    <xf numFmtId="1" fontId="15" fillId="0" borderId="7" xfId="0" applyNumberFormat="1" applyFont="1" applyBorder="1" applyAlignment="1">
      <alignment horizontal="center"/>
    </xf>
    <xf numFmtId="0" fontId="14" fillId="0" borderId="0" xfId="0" applyFont="1" applyBorder="1" applyAlignment="1"/>
    <xf numFmtId="0" fontId="0" fillId="0" borderId="42" xfId="0" applyBorder="1" applyAlignment="1"/>
    <xf numFmtId="0" fontId="15" fillId="0" borderId="0" xfId="0" applyFont="1" applyBorder="1" applyAlignment="1" applyProtection="1">
      <alignment horizontal="left"/>
    </xf>
    <xf numFmtId="0" fontId="15" fillId="0" borderId="0" xfId="0" applyFont="1" applyBorder="1" applyAlignment="1" applyProtection="1"/>
    <xf numFmtId="0" fontId="15" fillId="0" borderId="0" xfId="0" applyFont="1" applyBorder="1" applyAlignment="1"/>
    <xf numFmtId="0" fontId="0" fillId="0" borderId="0" xfId="0" applyBorder="1" applyAlignment="1"/>
    <xf numFmtId="0" fontId="15" fillId="0" borderId="7" xfId="0" applyFont="1" applyBorder="1" applyAlignment="1"/>
    <xf numFmtId="0" fontId="0" fillId="0" borderId="11" xfId="0" applyBorder="1"/>
    <xf numFmtId="0" fontId="0" fillId="0" borderId="12" xfId="0" applyBorder="1"/>
    <xf numFmtId="9" fontId="15" fillId="0" borderId="7" xfId="2" applyFont="1" applyBorder="1" applyAlignment="1">
      <alignment horizontal="center"/>
    </xf>
    <xf numFmtId="0" fontId="15" fillId="0" borderId="10" xfId="0" applyFont="1" applyBorder="1"/>
    <xf numFmtId="0" fontId="14" fillId="0" borderId="0" xfId="0" applyFont="1" applyBorder="1" applyAlignment="1">
      <alignment horizontal="center" vertical="center"/>
    </xf>
    <xf numFmtId="0" fontId="16" fillId="0" borderId="0" xfId="0" applyFont="1" applyBorder="1" applyAlignment="1">
      <alignment horizontal="center" vertical="center" wrapText="1"/>
    </xf>
    <xf numFmtId="2" fontId="15" fillId="0" borderId="0" xfId="0" applyNumberFormat="1" applyFont="1" applyBorder="1" applyAlignment="1">
      <alignment horizontal="center"/>
    </xf>
    <xf numFmtId="0" fontId="15" fillId="12" borderId="42" xfId="0" applyFont="1" applyFill="1" applyBorder="1"/>
    <xf numFmtId="0" fontId="12" fillId="0" borderId="0" xfId="0" applyFont="1" applyBorder="1" applyAlignment="1">
      <alignment vertical="center"/>
    </xf>
    <xf numFmtId="0" fontId="16" fillId="0" borderId="0" xfId="0" applyFont="1" applyBorder="1" applyAlignment="1"/>
    <xf numFmtId="0" fontId="14" fillId="0" borderId="0" xfId="0" applyFont="1" applyFill="1" applyBorder="1" applyAlignment="1"/>
    <xf numFmtId="0" fontId="15" fillId="11" borderId="40" xfId="0" applyFont="1" applyFill="1" applyBorder="1" applyAlignment="1">
      <alignment horizontal="center"/>
    </xf>
    <xf numFmtId="2" fontId="0" fillId="0" borderId="2" xfId="0" applyNumberFormat="1" applyBorder="1" applyAlignment="1">
      <alignment vertical="center" wrapText="1"/>
    </xf>
    <xf numFmtId="2" fontId="0" fillId="0" borderId="3" xfId="0" applyNumberFormat="1" applyBorder="1" applyAlignment="1">
      <alignment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Fill="1" applyAlignment="1">
      <alignment horizontal="center"/>
    </xf>
    <xf numFmtId="0" fontId="15" fillId="13" borderId="22" xfId="0" applyFont="1" applyFill="1" applyBorder="1"/>
    <xf numFmtId="0" fontId="15" fillId="13" borderId="42" xfId="0" applyFont="1" applyFill="1" applyBorder="1"/>
    <xf numFmtId="0" fontId="15" fillId="13" borderId="21" xfId="0" applyFont="1" applyFill="1" applyBorder="1" applyAlignment="1">
      <alignment horizontal="center"/>
    </xf>
    <xf numFmtId="0" fontId="15" fillId="13" borderId="39" xfId="0" applyFont="1" applyFill="1" applyBorder="1"/>
    <xf numFmtId="0" fontId="15" fillId="13" borderId="40" xfId="0" applyFont="1" applyFill="1" applyBorder="1" applyAlignment="1">
      <alignment horizontal="center"/>
    </xf>
    <xf numFmtId="0" fontId="0" fillId="0" borderId="0" xfId="0" applyFill="1" applyBorder="1" applyAlignment="1">
      <alignment horizontal="center"/>
    </xf>
    <xf numFmtId="164" fontId="0" fillId="0" borderId="2" xfId="0" applyNumberFormat="1" applyFont="1" applyBorder="1" applyAlignment="1">
      <alignment horizontal="right" vertical="center" wrapText="1"/>
    </xf>
    <xf numFmtId="164" fontId="0" fillId="0" borderId="3" xfId="0" applyNumberFormat="1" applyFont="1" applyBorder="1" applyAlignment="1">
      <alignment horizontal="right" vertical="center" wrapText="1"/>
    </xf>
    <xf numFmtId="0" fontId="0" fillId="0" borderId="43" xfId="0" applyBorder="1" applyAlignment="1">
      <alignment vertical="center" wrapText="1"/>
    </xf>
    <xf numFmtId="164" fontId="0" fillId="0" borderId="0" xfId="0" applyNumberFormat="1" applyBorder="1" applyAlignment="1">
      <alignment vertical="center" wrapText="1"/>
    </xf>
    <xf numFmtId="164" fontId="0" fillId="0" borderId="0" xfId="0" applyNumberFormat="1" applyFont="1" applyBorder="1" applyAlignment="1">
      <alignment horizontal="right" vertical="center" wrapText="1"/>
    </xf>
    <xf numFmtId="164" fontId="0" fillId="0" borderId="44" xfId="0" applyNumberFormat="1" applyFont="1" applyBorder="1" applyAlignment="1">
      <alignment horizontal="right" vertical="center" wrapText="1"/>
    </xf>
    <xf numFmtId="0" fontId="0" fillId="0" borderId="0" xfId="0" applyAlignment="1">
      <alignment horizontal="center"/>
    </xf>
    <xf numFmtId="0" fontId="0" fillId="0" borderId="0" xfId="0" applyFill="1" applyAlignment="1">
      <alignment horizontal="center"/>
    </xf>
    <xf numFmtId="0" fontId="0" fillId="0" borderId="3" xfId="0" applyFill="1" applyBorder="1" applyAlignment="1">
      <alignment vertical="center" wrapText="1"/>
    </xf>
    <xf numFmtId="164" fontId="0" fillId="0" borderId="0" xfId="0" applyNumberFormat="1" applyFill="1" applyBorder="1" applyAlignment="1">
      <alignment vertical="center" wrapText="1"/>
    </xf>
    <xf numFmtId="0" fontId="9" fillId="0" borderId="0" xfId="0" applyFont="1" applyAlignment="1">
      <alignment vertical="center"/>
    </xf>
    <xf numFmtId="0" fontId="0" fillId="0" borderId="2" xfId="0" applyBorder="1"/>
    <xf numFmtId="0" fontId="0" fillId="3" borderId="5" xfId="0" applyFill="1" applyBorder="1"/>
    <xf numFmtId="166" fontId="0" fillId="0" borderId="2" xfId="0" applyNumberFormat="1" applyBorder="1" applyAlignment="1">
      <alignment vertical="center" wrapText="1"/>
    </xf>
    <xf numFmtId="0" fontId="0" fillId="0" borderId="59" xfId="0" applyFill="1" applyBorder="1" applyAlignment="1">
      <alignment vertical="center" wrapText="1"/>
    </xf>
    <xf numFmtId="0" fontId="0" fillId="4" borderId="60" xfId="0" applyFill="1" applyBorder="1"/>
    <xf numFmtId="0" fontId="0" fillId="0" borderId="44" xfId="0" applyFill="1" applyBorder="1" applyAlignment="1">
      <alignment vertical="center" wrapText="1"/>
    </xf>
    <xf numFmtId="0" fontId="0" fillId="0" borderId="0" xfId="0" applyFill="1" applyAlignment="1"/>
    <xf numFmtId="0" fontId="0" fillId="0" borderId="59" xfId="0" applyBorder="1"/>
    <xf numFmtId="0" fontId="0" fillId="0" borderId="61" xfId="0" applyBorder="1"/>
    <xf numFmtId="0" fontId="0" fillId="4" borderId="60" xfId="0" applyFill="1" applyBorder="1" applyAlignment="1">
      <alignment vertical="center" wrapText="1"/>
    </xf>
    <xf numFmtId="0" fontId="15" fillId="8" borderId="8" xfId="0" applyFont="1" applyFill="1" applyBorder="1" applyAlignment="1" applyProtection="1">
      <alignment horizontal="center"/>
      <protection locked="0"/>
    </xf>
    <xf numFmtId="0" fontId="15" fillId="12" borderId="9" xfId="0" applyFont="1" applyFill="1" applyBorder="1" applyAlignment="1">
      <alignment horizontal="left" vertical="center"/>
    </xf>
    <xf numFmtId="2" fontId="15" fillId="9" borderId="38" xfId="0" applyNumberFormat="1" applyFont="1" applyFill="1" applyBorder="1" applyAlignment="1">
      <alignment horizontal="center"/>
    </xf>
    <xf numFmtId="0" fontId="15" fillId="9" borderId="42" xfId="0" applyFont="1" applyFill="1" applyBorder="1"/>
    <xf numFmtId="0" fontId="15" fillId="9" borderId="22" xfId="0" applyFont="1" applyFill="1" applyBorder="1"/>
    <xf numFmtId="0" fontId="15" fillId="9" borderId="32" xfId="0" applyFont="1" applyFill="1" applyBorder="1"/>
    <xf numFmtId="0" fontId="15" fillId="9" borderId="39" xfId="0" applyFont="1" applyFill="1" applyBorder="1"/>
    <xf numFmtId="0" fontId="15" fillId="9" borderId="42" xfId="0" applyFont="1" applyFill="1" applyBorder="1" applyAlignment="1">
      <alignment horizontal="center"/>
    </xf>
    <xf numFmtId="0" fontId="0" fillId="0" borderId="0" xfId="3" applyFont="1" applyFill="1" applyBorder="1" applyAlignment="1">
      <alignment horizontal="center" vertical="center"/>
    </xf>
    <xf numFmtId="2" fontId="0" fillId="0" borderId="0" xfId="3" applyNumberFormat="1" applyFont="1" applyFill="1" applyBorder="1" applyAlignment="1">
      <alignment horizontal="center" vertical="center"/>
    </xf>
    <xf numFmtId="0" fontId="15" fillId="12" borderId="32" xfId="0" applyFont="1" applyFill="1" applyBorder="1"/>
    <xf numFmtId="0" fontId="0" fillId="0" borderId="43" xfId="0" applyBorder="1"/>
    <xf numFmtId="0" fontId="0" fillId="0" borderId="44" xfId="0" applyBorder="1"/>
    <xf numFmtId="165" fontId="0" fillId="0" borderId="2" xfId="0" applyNumberFormat="1" applyBorder="1" applyAlignment="1">
      <alignment vertical="center" wrapText="1"/>
    </xf>
    <xf numFmtId="0" fontId="15" fillId="12" borderId="41" xfId="0" applyFont="1" applyFill="1" applyBorder="1" applyAlignment="1">
      <alignment horizontal="left" vertical="center"/>
    </xf>
    <xf numFmtId="0" fontId="15" fillId="12" borderId="9" xfId="0" applyFont="1" applyFill="1" applyBorder="1" applyAlignment="1">
      <alignment horizontal="left" vertical="center"/>
    </xf>
    <xf numFmtId="0" fontId="15" fillId="13" borderId="9" xfId="0" applyFont="1" applyFill="1" applyBorder="1" applyAlignment="1">
      <alignment horizontal="left" vertical="center"/>
    </xf>
    <xf numFmtId="0" fontId="15" fillId="9" borderId="8" xfId="0" applyFont="1" applyFill="1" applyBorder="1" applyAlignment="1">
      <alignment horizontal="left" vertical="center"/>
    </xf>
    <xf numFmtId="0" fontId="16" fillId="0" borderId="7" xfId="0" applyFont="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1" fillId="0" borderId="0" xfId="0" applyFont="1" applyBorder="1" applyAlignment="1">
      <alignment vertical="center"/>
    </xf>
    <xf numFmtId="0" fontId="15" fillId="11" borderId="9" xfId="0" applyFont="1" applyFill="1" applyBorder="1" applyAlignment="1">
      <alignment horizontal="left" vertical="center"/>
    </xf>
    <xf numFmtId="0" fontId="15" fillId="12" borderId="9" xfId="0" applyFont="1" applyFill="1" applyBorder="1" applyAlignment="1">
      <alignment horizontal="left" vertical="center"/>
    </xf>
    <xf numFmtId="0" fontId="15" fillId="13" borderId="9" xfId="0" applyFont="1" applyFill="1" applyBorder="1" applyAlignment="1">
      <alignment horizontal="left" vertical="center"/>
    </xf>
    <xf numFmtId="0" fontId="15" fillId="9" borderId="8" xfId="0" applyFont="1" applyFill="1" applyBorder="1" applyAlignment="1">
      <alignment horizontal="left" vertical="center"/>
    </xf>
    <xf numFmtId="0" fontId="16" fillId="0" borderId="7" xfId="0" applyFont="1" applyBorder="1" applyAlignment="1">
      <alignment horizontal="center"/>
    </xf>
    <xf numFmtId="2" fontId="11" fillId="0" borderId="7" xfId="0" applyNumberFormat="1" applyFont="1" applyBorder="1" applyAlignment="1">
      <alignment horizontal="center"/>
    </xf>
    <xf numFmtId="0" fontId="20" fillId="0" borderId="0" xfId="0" applyFont="1"/>
    <xf numFmtId="0" fontId="0" fillId="4" borderId="6" xfId="0" applyFill="1" applyBorder="1"/>
    <xf numFmtId="164" fontId="0" fillId="0" borderId="2" xfId="0" applyNumberFormat="1" applyFill="1" applyBorder="1" applyAlignment="1">
      <alignment vertical="center" wrapText="1"/>
    </xf>
    <xf numFmtId="0" fontId="11" fillId="0" borderId="7" xfId="0" applyFont="1" applyBorder="1" applyAlignment="1">
      <alignment horizontal="center" vertical="center"/>
    </xf>
    <xf numFmtId="2" fontId="20" fillId="0" borderId="7" xfId="0" applyNumberFormat="1" applyFont="1" applyBorder="1" applyAlignment="1">
      <alignment horizontal="center" vertical="center"/>
    </xf>
    <xf numFmtId="0" fontId="11" fillId="0" borderId="7" xfId="0" applyFont="1" applyBorder="1" applyAlignment="1">
      <alignment horizontal="center"/>
    </xf>
    <xf numFmtId="2" fontId="15" fillId="17" borderId="7" xfId="0" applyNumberFormat="1" applyFont="1" applyFill="1" applyBorder="1" applyAlignment="1">
      <alignment horizontal="center"/>
    </xf>
    <xf numFmtId="2" fontId="20" fillId="17" borderId="7" xfId="0" applyNumberFormat="1" applyFont="1" applyFill="1" applyBorder="1" applyAlignment="1">
      <alignment horizontal="center" vertical="center"/>
    </xf>
    <xf numFmtId="0" fontId="11" fillId="17" borderId="7" xfId="0" applyFont="1" applyFill="1" applyBorder="1" applyAlignment="1">
      <alignment horizontal="center"/>
    </xf>
    <xf numFmtId="0" fontId="11" fillId="17" borderId="7" xfId="0" applyFont="1" applyFill="1" applyBorder="1" applyAlignment="1">
      <alignment horizontal="center" vertical="center"/>
    </xf>
    <xf numFmtId="0" fontId="11" fillId="0" borderId="7" xfId="0" applyFont="1" applyBorder="1" applyAlignment="1">
      <alignment horizontal="center" vertical="center"/>
    </xf>
    <xf numFmtId="0" fontId="0" fillId="0" borderId="0" xfId="0" applyAlignment="1">
      <alignment horizont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5" fillId="10" borderId="7" xfId="0" applyFont="1" applyFill="1" applyBorder="1" applyAlignment="1">
      <alignment horizontal="center"/>
    </xf>
    <xf numFmtId="0" fontId="16" fillId="0" borderId="12" xfId="0" applyFont="1" applyBorder="1" applyAlignment="1">
      <alignment horizontal="center"/>
    </xf>
    <xf numFmtId="0" fontId="15" fillId="0" borderId="11" xfId="0" applyFont="1" applyBorder="1" applyAlignment="1">
      <alignment horizontal="left"/>
    </xf>
    <xf numFmtId="0" fontId="15" fillId="0" borderId="12" xfId="0" applyFont="1" applyBorder="1" applyAlignment="1">
      <alignment horizontal="left"/>
    </xf>
    <xf numFmtId="0" fontId="16" fillId="0" borderId="7" xfId="0" applyFont="1" applyBorder="1" applyAlignment="1">
      <alignment horizontal="center"/>
    </xf>
    <xf numFmtId="167" fontId="0" fillId="0" borderId="0" xfId="0" applyNumberFormat="1"/>
    <xf numFmtId="2" fontId="0" fillId="3" borderId="5" xfId="0" applyNumberFormat="1" applyFill="1" applyBorder="1" applyAlignment="1">
      <alignment vertical="center" wrapText="1"/>
    </xf>
    <xf numFmtId="0" fontId="15" fillId="18" borderId="7" xfId="0" applyFont="1" applyFill="1" applyBorder="1" applyAlignment="1" applyProtection="1">
      <alignment horizontal="center"/>
      <protection locked="0"/>
    </xf>
    <xf numFmtId="0" fontId="15" fillId="8" borderId="41" xfId="0" applyFont="1" applyFill="1" applyBorder="1" applyAlignment="1" applyProtection="1">
      <alignment horizontal="center"/>
      <protection locked="0"/>
    </xf>
    <xf numFmtId="0" fontId="15" fillId="8" borderId="9" xfId="0" applyFont="1" applyFill="1" applyBorder="1" applyAlignment="1" applyProtection="1">
      <alignment horizontal="center"/>
      <protection locked="0"/>
    </xf>
    <xf numFmtId="0" fontId="5" fillId="18" borderId="15" xfId="1" applyFont="1" applyFill="1" applyBorder="1" applyAlignment="1">
      <alignment horizontal="center" vertical="center" wrapText="1"/>
    </xf>
    <xf numFmtId="0" fontId="10" fillId="15" borderId="0" xfId="0" applyFont="1" applyFill="1"/>
    <xf numFmtId="0" fontId="0" fillId="0" borderId="0" xfId="0" applyFill="1" applyAlignment="1">
      <alignment horizontal="center"/>
    </xf>
    <xf numFmtId="0" fontId="15" fillId="11" borderId="0" xfId="0" applyFont="1" applyFill="1" applyBorder="1" applyAlignment="1">
      <alignment horizontal="center" vertical="center"/>
    </xf>
    <xf numFmtId="0" fontId="18" fillId="11" borderId="21" xfId="0" applyFont="1" applyFill="1" applyBorder="1" applyAlignment="1">
      <alignment horizontal="center" vertical="center"/>
    </xf>
    <xf numFmtId="0" fontId="15" fillId="11" borderId="33" xfId="0" applyFont="1" applyFill="1" applyBorder="1" applyAlignment="1">
      <alignment horizontal="center"/>
    </xf>
    <xf numFmtId="0" fontId="15" fillId="11" borderId="33" xfId="0" applyFont="1" applyFill="1" applyBorder="1" applyAlignment="1">
      <alignment horizontal="center" vertical="center"/>
    </xf>
    <xf numFmtId="0" fontId="15" fillId="8" borderId="41" xfId="0" applyNumberFormat="1" applyFont="1" applyFill="1" applyBorder="1" applyAlignment="1" applyProtection="1">
      <alignment horizontal="center"/>
      <protection locked="0"/>
    </xf>
    <xf numFmtId="0" fontId="0" fillId="0" borderId="0" xfId="0" applyAlignment="1">
      <alignment horizontal="center"/>
    </xf>
    <xf numFmtId="0" fontId="0" fillId="0" borderId="0" xfId="0" applyFill="1" applyAlignment="1">
      <alignment horizontal="center"/>
    </xf>
    <xf numFmtId="11" fontId="0" fillId="0" borderId="0" xfId="0" applyNumberFormat="1"/>
    <xf numFmtId="0" fontId="15" fillId="11" borderId="40" xfId="0" applyFont="1" applyFill="1" applyBorder="1"/>
    <xf numFmtId="0" fontId="15" fillId="11" borderId="21" xfId="0" applyFont="1" applyFill="1" applyBorder="1"/>
    <xf numFmtId="0" fontId="15" fillId="11" borderId="9" xfId="0" applyFont="1" applyFill="1" applyBorder="1" applyAlignment="1">
      <alignment horizontal="center"/>
    </xf>
    <xf numFmtId="0" fontId="15" fillId="11" borderId="9" xfId="0" applyFont="1" applyFill="1" applyBorder="1" applyAlignment="1">
      <alignment horizontal="left" vertical="center"/>
    </xf>
    <xf numFmtId="0" fontId="14" fillId="0" borderId="11" xfId="0" applyFont="1" applyBorder="1" applyAlignment="1"/>
    <xf numFmtId="0" fontId="14" fillId="0" borderId="12" xfId="0" applyFont="1" applyBorder="1" applyAlignment="1"/>
    <xf numFmtId="0" fontId="14" fillId="0" borderId="10" xfId="0" applyFont="1" applyBorder="1" applyAlignment="1">
      <alignment horizontal="right"/>
    </xf>
    <xf numFmtId="0" fontId="14" fillId="8" borderId="7" xfId="0" applyFont="1" applyFill="1" applyBorder="1" applyAlignment="1" applyProtection="1">
      <alignment horizontal="center"/>
      <protection locked="0"/>
    </xf>
    <xf numFmtId="0" fontId="14" fillId="19" borderId="11" xfId="0" applyFont="1" applyFill="1" applyBorder="1" applyAlignment="1" applyProtection="1">
      <alignment horizontal="right"/>
      <protection locked="0"/>
    </xf>
    <xf numFmtId="0" fontId="14" fillId="0" borderId="11" xfId="0" applyFont="1" applyFill="1" applyBorder="1" applyAlignment="1" applyProtection="1">
      <protection locked="0"/>
    </xf>
    <xf numFmtId="0" fontId="14" fillId="0" borderId="12" xfId="0" applyFont="1" applyFill="1" applyBorder="1" applyAlignment="1" applyProtection="1">
      <protection locked="0"/>
    </xf>
    <xf numFmtId="0" fontId="1" fillId="0" borderId="0" xfId="0" applyFont="1" applyBorder="1"/>
    <xf numFmtId="0" fontId="1" fillId="0" borderId="0" xfId="0" applyFont="1" applyFill="1" applyBorder="1"/>
    <xf numFmtId="0" fontId="15" fillId="9" borderId="7" xfId="0" applyFont="1" applyFill="1" applyBorder="1" applyAlignment="1" applyProtection="1">
      <alignment vertical="center"/>
    </xf>
    <xf numFmtId="2" fontId="15" fillId="17" borderId="7" xfId="0" applyNumberFormat="1" applyFont="1" applyFill="1" applyBorder="1" applyAlignment="1" applyProtection="1">
      <alignment horizontal="center"/>
    </xf>
    <xf numFmtId="0" fontId="15" fillId="0" borderId="7" xfId="0" applyFont="1" applyBorder="1" applyProtection="1"/>
    <xf numFmtId="0" fontId="13" fillId="0" borderId="0" xfId="0" applyFont="1" applyProtection="1"/>
    <xf numFmtId="0" fontId="15" fillId="10" borderId="7" xfId="0" applyFont="1" applyFill="1" applyBorder="1" applyAlignment="1" applyProtection="1">
      <alignment horizontal="left"/>
    </xf>
    <xf numFmtId="0" fontId="15" fillId="11" borderId="7" xfId="0" applyFont="1" applyFill="1" applyBorder="1" applyAlignment="1" applyProtection="1">
      <alignment horizontal="left"/>
    </xf>
    <xf numFmtId="0" fontId="15" fillId="5" borderId="7" xfId="0" applyFont="1" applyFill="1" applyBorder="1" applyAlignment="1" applyProtection="1">
      <alignment horizontal="left"/>
    </xf>
    <xf numFmtId="0" fontId="15" fillId="13" borderId="7" xfId="0" applyFont="1" applyFill="1" applyBorder="1" applyAlignment="1" applyProtection="1">
      <alignment horizontal="left"/>
    </xf>
    <xf numFmtId="0" fontId="0" fillId="0" borderId="7" xfId="0" applyBorder="1" applyAlignment="1" applyProtection="1">
      <alignment horizontal="center" vertical="center"/>
    </xf>
    <xf numFmtId="0" fontId="14" fillId="0" borderId="0" xfId="0" applyFont="1" applyBorder="1" applyAlignment="1" applyProtection="1">
      <alignment horizontal="center" vertical="center" wrapText="1"/>
    </xf>
    <xf numFmtId="0" fontId="16" fillId="0" borderId="45" xfId="0" applyFont="1" applyBorder="1" applyAlignment="1" applyProtection="1">
      <alignment horizontal="center" vertical="center" wrapText="1"/>
    </xf>
    <xf numFmtId="0" fontId="16" fillId="0" borderId="45" xfId="0" applyFont="1" applyBorder="1" applyAlignment="1" applyProtection="1">
      <alignment horizontal="center" vertical="center"/>
    </xf>
    <xf numFmtId="0" fontId="15" fillId="0" borderId="7" xfId="0" applyFont="1" applyBorder="1" applyAlignment="1" applyProtection="1">
      <alignment horizontal="left" vertical="center"/>
    </xf>
    <xf numFmtId="2" fontId="23" fillId="0" borderId="7" xfId="0" applyNumberFormat="1"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9" xfId="0" applyFont="1" applyFill="1" applyBorder="1" applyAlignment="1" applyProtection="1">
      <alignment horizontal="center" vertical="center"/>
    </xf>
    <xf numFmtId="0" fontId="16" fillId="0" borderId="7" xfId="0" applyFont="1" applyBorder="1" applyAlignment="1" applyProtection="1">
      <alignment vertical="center" wrapText="1"/>
    </xf>
    <xf numFmtId="0" fontId="16" fillId="0" borderId="7" xfId="0" applyFont="1" applyBorder="1" applyAlignment="1" applyProtection="1">
      <alignment horizontal="center" vertical="center" wrapText="1"/>
    </xf>
    <xf numFmtId="0" fontId="24" fillId="0" borderId="7" xfId="0" applyFont="1" applyBorder="1" applyAlignment="1" applyProtection="1">
      <alignment vertical="center" wrapText="1"/>
    </xf>
    <xf numFmtId="0" fontId="24" fillId="0" borderId="7"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4" fillId="0" borderId="7" xfId="0" applyFont="1" applyFill="1" applyBorder="1" applyAlignment="1" applyProtection="1">
      <alignment vertical="center" wrapText="1"/>
    </xf>
    <xf numFmtId="0" fontId="24" fillId="0" borderId="7" xfId="0"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9" xfId="0" applyFont="1" applyBorder="1" applyAlignment="1" applyProtection="1">
      <alignment horizontal="center" vertical="center" wrapText="1"/>
    </xf>
    <xf numFmtId="0" fontId="0" fillId="0" borderId="7" xfId="0" applyFill="1" applyBorder="1" applyAlignment="1" applyProtection="1">
      <alignment horizontal="center" vertical="center"/>
    </xf>
    <xf numFmtId="0" fontId="0" fillId="0" borderId="7" xfId="0" applyFont="1" applyFill="1" applyBorder="1" applyAlignment="1" applyProtection="1">
      <alignment horizontal="center" vertical="center" wrapText="1"/>
    </xf>
    <xf numFmtId="0" fontId="25" fillId="0" borderId="7" xfId="0" applyFont="1" applyBorder="1" applyAlignment="1" applyProtection="1">
      <alignment horizontal="center" vertical="center"/>
    </xf>
    <xf numFmtId="0" fontId="15" fillId="0" borderId="7" xfId="0" applyFont="1" applyBorder="1" applyAlignment="1" applyProtection="1">
      <alignment vertical="center"/>
    </xf>
    <xf numFmtId="9" fontId="23" fillId="0" borderId="7" xfId="2" applyFont="1" applyBorder="1" applyAlignment="1" applyProtection="1">
      <alignment horizontal="center" vertical="center"/>
    </xf>
    <xf numFmtId="0" fontId="16"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0" fillId="0" borderId="8" xfId="0" applyBorder="1" applyAlignment="1" applyProtection="1">
      <alignment horizontal="center" vertical="center"/>
    </xf>
    <xf numFmtId="0" fontId="0" fillId="0" borderId="42" xfId="0" applyFont="1" applyFill="1" applyBorder="1" applyAlignment="1" applyProtection="1">
      <alignment horizontal="left" vertical="center" wrapText="1"/>
    </xf>
    <xf numFmtId="0" fontId="0" fillId="0" borderId="42" xfId="0" applyBorder="1" applyAlignment="1" applyProtection="1">
      <alignment horizontal="center" vertical="center"/>
    </xf>
    <xf numFmtId="0" fontId="0" fillId="12" borderId="7" xfId="0" applyFill="1" applyBorder="1" applyAlignment="1">
      <alignment vertical="center" wrapText="1"/>
    </xf>
    <xf numFmtId="0" fontId="0" fillId="0" borderId="4" xfId="0" applyBorder="1"/>
    <xf numFmtId="0" fontId="0" fillId="0" borderId="5" xfId="0" applyBorder="1"/>
    <xf numFmtId="0" fontId="0" fillId="0" borderId="6" xfId="0" applyBorder="1"/>
    <xf numFmtId="0" fontId="0" fillId="0" borderId="0" xfId="0" applyFill="1" applyAlignment="1">
      <alignment horizontal="center"/>
    </xf>
    <xf numFmtId="0" fontId="0" fillId="0" borderId="2" xfId="0" applyBorder="1" applyAlignment="1"/>
    <xf numFmtId="0" fontId="0" fillId="0" borderId="2" xfId="0" applyBorder="1" applyAlignment="1">
      <alignment horizontal="left"/>
    </xf>
    <xf numFmtId="0" fontId="0" fillId="0" borderId="2" xfId="0" applyFill="1" applyBorder="1" applyAlignment="1"/>
    <xf numFmtId="0" fontId="0" fillId="0" borderId="0" xfId="0" applyBorder="1" applyAlignment="1">
      <alignment horizontal="left"/>
    </xf>
    <xf numFmtId="0" fontId="15" fillId="12" borderId="10" xfId="0" applyFont="1" applyFill="1" applyBorder="1" applyAlignment="1">
      <alignment vertical="center"/>
    </xf>
    <xf numFmtId="0" fontId="15" fillId="12" borderId="12" xfId="0" applyFont="1" applyFill="1" applyBorder="1" applyAlignment="1">
      <alignment vertical="center"/>
    </xf>
    <xf numFmtId="2" fontId="0" fillId="0" borderId="2" xfId="3" applyNumberFormat="1" applyFont="1" applyFill="1" applyBorder="1" applyAlignment="1">
      <alignment horizontal="right" vertical="center"/>
    </xf>
    <xf numFmtId="0" fontId="0" fillId="0" borderId="2" xfId="3" applyFont="1" applyFill="1" applyBorder="1" applyAlignment="1">
      <alignment horizontal="right" vertical="center"/>
    </xf>
    <xf numFmtId="1" fontId="0" fillId="0" borderId="3" xfId="3" applyNumberFormat="1" applyFont="1" applyFill="1" applyBorder="1" applyAlignment="1">
      <alignment horizontal="right" vertical="center"/>
    </xf>
    <xf numFmtId="0" fontId="0" fillId="2" borderId="5" xfId="0" applyFill="1" applyBorder="1" applyAlignment="1">
      <alignment horizontal="right" vertical="center" wrapText="1"/>
    </xf>
    <xf numFmtId="0" fontId="0" fillId="3" borderId="5" xfId="0" applyFill="1" applyBorder="1" applyAlignment="1">
      <alignment horizontal="right" vertical="center" wrapText="1"/>
    </xf>
    <xf numFmtId="0" fontId="0" fillId="4" borderId="5" xfId="0" applyFill="1" applyBorder="1" applyAlignment="1">
      <alignment horizontal="right" vertical="center" wrapText="1"/>
    </xf>
    <xf numFmtId="0" fontId="0" fillId="4" borderId="6" xfId="0" applyFill="1" applyBorder="1" applyAlignment="1">
      <alignment horizontal="right" vertical="center" wrapText="1"/>
    </xf>
    <xf numFmtId="1" fontId="0" fillId="0" borderId="2" xfId="3" applyNumberFormat="1" applyFont="1" applyFill="1" applyBorder="1" applyAlignment="1">
      <alignment horizontal="right" vertical="center"/>
    </xf>
    <xf numFmtId="0" fontId="21" fillId="0" borderId="2" xfId="3" applyFill="1" applyBorder="1" applyAlignment="1">
      <alignment horizontal="right" vertical="center"/>
    </xf>
    <xf numFmtId="1" fontId="0" fillId="0" borderId="2" xfId="0" applyNumberFormat="1" applyBorder="1"/>
    <xf numFmtId="15" fontId="0" fillId="0" borderId="0" xfId="0" applyNumberFormat="1" applyFill="1"/>
    <xf numFmtId="0" fontId="0" fillId="0" borderId="0" xfId="0" applyAlignment="1">
      <alignment horizont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7" fillId="8" borderId="22" xfId="1" applyFont="1" applyFill="1" applyBorder="1" applyAlignment="1">
      <alignment horizontal="center" vertical="center" wrapText="1"/>
    </xf>
    <xf numFmtId="0" fontId="7" fillId="8" borderId="21" xfId="1" applyFont="1" applyFill="1" applyBorder="1" applyAlignment="1">
      <alignment horizontal="center" vertical="center" wrapText="1"/>
    </xf>
    <xf numFmtId="0" fontId="7" fillId="8" borderId="32" xfId="1" applyFont="1" applyFill="1" applyBorder="1" applyAlignment="1">
      <alignment horizontal="center" vertical="center" wrapText="1"/>
    </xf>
    <xf numFmtId="0" fontId="7" fillId="8" borderId="33" xfId="1" applyFont="1" applyFill="1" applyBorder="1" applyAlignment="1">
      <alignment horizontal="center" vertical="center" wrapText="1"/>
    </xf>
    <xf numFmtId="0" fontId="7" fillId="8" borderId="7" xfId="1" applyFont="1" applyFill="1" applyBorder="1" applyAlignment="1">
      <alignment horizontal="center" vertical="center" wrapText="1"/>
    </xf>
    <xf numFmtId="0" fontId="7" fillId="8" borderId="10" xfId="1" applyFont="1" applyFill="1" applyBorder="1" applyAlignment="1">
      <alignment horizontal="center" vertical="center" wrapText="1"/>
    </xf>
    <xf numFmtId="0" fontId="7" fillId="0" borderId="0" xfId="1" applyFont="1" applyAlignment="1">
      <alignment horizontal="left"/>
    </xf>
    <xf numFmtId="0" fontId="6" fillId="6" borderId="0" xfId="1" applyFont="1" applyFill="1" applyBorder="1" applyAlignment="1">
      <alignment horizontal="left" vertical="center" wrapText="1"/>
    </xf>
    <xf numFmtId="0" fontId="5" fillId="0" borderId="13"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7" borderId="16" xfId="1" applyFont="1" applyFill="1" applyBorder="1" applyAlignment="1">
      <alignment horizontal="center" vertical="center"/>
    </xf>
    <xf numFmtId="0" fontId="5" fillId="7" borderId="17" xfId="1" applyFont="1" applyFill="1" applyBorder="1" applyAlignment="1">
      <alignment horizontal="center" vertical="center"/>
    </xf>
    <xf numFmtId="0" fontId="5" fillId="7" borderId="18" xfId="1" applyFont="1" applyFill="1" applyBorder="1" applyAlignment="1">
      <alignment horizontal="center" vertical="center"/>
    </xf>
    <xf numFmtId="0" fontId="5" fillId="7" borderId="19" xfId="1" applyFont="1" applyFill="1" applyBorder="1" applyAlignment="1">
      <alignment horizontal="center" vertical="center"/>
    </xf>
    <xf numFmtId="0" fontId="6" fillId="0" borderId="43" xfId="1" applyFont="1" applyBorder="1" applyAlignment="1">
      <alignment horizontal="center" vertical="center" wrapText="1"/>
    </xf>
    <xf numFmtId="0" fontId="6" fillId="0" borderId="0" xfId="1" applyFont="1" applyBorder="1" applyAlignment="1">
      <alignment horizontal="center" vertical="center" wrapText="1"/>
    </xf>
    <xf numFmtId="0" fontId="0" fillId="9" borderId="21" xfId="0" applyFill="1" applyBorder="1" applyAlignment="1">
      <alignment horizontal="left" vertical="center"/>
    </xf>
    <xf numFmtId="0" fontId="0" fillId="9" borderId="33" xfId="0" applyFill="1" applyBorder="1" applyAlignment="1">
      <alignment horizontal="left" vertical="center"/>
    </xf>
    <xf numFmtId="0" fontId="0" fillId="11" borderId="21" xfId="0" applyFont="1" applyFill="1" applyBorder="1" applyAlignment="1">
      <alignment horizontal="left" vertical="center"/>
    </xf>
    <xf numFmtId="0" fontId="0" fillId="11" borderId="33" xfId="0" applyFont="1" applyFill="1" applyBorder="1" applyAlignment="1">
      <alignment horizontal="left" vertical="center"/>
    </xf>
    <xf numFmtId="0" fontId="0" fillId="11" borderId="40" xfId="0" applyFont="1" applyFill="1" applyBorder="1" applyAlignment="1">
      <alignment horizontal="left" vertical="center"/>
    </xf>
    <xf numFmtId="0" fontId="0" fillId="12" borderId="21" xfId="0" applyFont="1" applyFill="1" applyBorder="1" applyAlignment="1">
      <alignment horizontal="left" vertical="center"/>
    </xf>
    <xf numFmtId="0" fontId="0" fillId="12" borderId="33" xfId="0" applyFont="1" applyFill="1" applyBorder="1" applyAlignment="1">
      <alignment horizontal="left" vertical="center"/>
    </xf>
    <xf numFmtId="0" fontId="0" fillId="12" borderId="40" xfId="0" applyFont="1" applyFill="1" applyBorder="1" applyAlignment="1">
      <alignment horizontal="left" vertical="center"/>
    </xf>
    <xf numFmtId="0" fontId="0" fillId="13" borderId="21" xfId="0" applyFont="1" applyFill="1" applyBorder="1" applyAlignment="1">
      <alignment horizontal="left" vertical="center"/>
    </xf>
    <xf numFmtId="0" fontId="0" fillId="13" borderId="40" xfId="0" applyFont="1" applyFill="1" applyBorder="1" applyAlignment="1">
      <alignment horizontal="left" vertical="center"/>
    </xf>
    <xf numFmtId="2" fontId="15" fillId="0" borderId="7" xfId="0" applyNumberFormat="1" applyFont="1" applyBorder="1" applyAlignment="1">
      <alignment horizontal="center" vertical="center"/>
    </xf>
    <xf numFmtId="2" fontId="15" fillId="13" borderId="7" xfId="0" applyNumberFormat="1" applyFont="1" applyFill="1" applyBorder="1" applyAlignment="1">
      <alignment horizontal="center" vertical="center"/>
    </xf>
    <xf numFmtId="0" fontId="15" fillId="0" borderId="7" xfId="0" applyFont="1" applyBorder="1" applyAlignment="1">
      <alignment horizontal="center" vertical="center"/>
    </xf>
    <xf numFmtId="2" fontId="15" fillId="12" borderId="7" xfId="0" applyNumberFormat="1" applyFont="1" applyFill="1" applyBorder="1" applyAlignment="1">
      <alignment horizontal="center" vertical="center"/>
    </xf>
    <xf numFmtId="0" fontId="15" fillId="13" borderId="8" xfId="0" applyFont="1" applyFill="1" applyBorder="1" applyAlignment="1">
      <alignment horizontal="left" vertical="center"/>
    </xf>
    <xf numFmtId="0" fontId="15" fillId="13" borderId="41" xfId="0" applyFont="1" applyFill="1" applyBorder="1" applyAlignment="1">
      <alignment horizontal="left" vertical="center"/>
    </xf>
    <xf numFmtId="0" fontId="15" fillId="13" borderId="9" xfId="0" applyFont="1" applyFill="1" applyBorder="1" applyAlignment="1">
      <alignment horizontal="left" vertical="center"/>
    </xf>
    <xf numFmtId="0" fontId="15" fillId="12" borderId="41" xfId="0" applyFont="1" applyFill="1" applyBorder="1" applyAlignment="1">
      <alignment horizontal="left" vertical="center"/>
    </xf>
    <xf numFmtId="0" fontId="15" fillId="12" borderId="8" xfId="0" applyFont="1" applyFill="1" applyBorder="1" applyAlignment="1">
      <alignment horizontal="left" vertical="center"/>
    </xf>
    <xf numFmtId="0" fontId="15" fillId="12" borderId="9" xfId="0" applyFont="1" applyFill="1" applyBorder="1" applyAlignment="1">
      <alignment horizontal="left" vertic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xf>
    <xf numFmtId="2" fontId="15" fillId="0" borderId="8" xfId="0" applyNumberFormat="1" applyFont="1" applyBorder="1" applyAlignment="1">
      <alignment horizontal="center" vertical="center"/>
    </xf>
    <xf numFmtId="2" fontId="15" fillId="0" borderId="9" xfId="0" applyNumberFormat="1" applyFont="1" applyBorder="1" applyAlignment="1">
      <alignment horizontal="center" vertical="center"/>
    </xf>
    <xf numFmtId="2" fontId="15" fillId="11" borderId="7" xfId="0" applyNumberFormat="1" applyFont="1" applyFill="1" applyBorder="1" applyAlignment="1">
      <alignment horizontal="center" vertical="center"/>
    </xf>
    <xf numFmtId="0" fontId="15" fillId="11" borderId="8" xfId="0" applyFont="1" applyFill="1" applyBorder="1" applyAlignment="1">
      <alignment horizontal="left" vertical="center"/>
    </xf>
    <xf numFmtId="0" fontId="15" fillId="11" borderId="9" xfId="0" applyFont="1" applyFill="1" applyBorder="1" applyAlignment="1">
      <alignment horizontal="left" vertical="center"/>
    </xf>
    <xf numFmtId="2" fontId="15" fillId="11" borderId="8" xfId="0" applyNumberFormat="1" applyFont="1" applyFill="1" applyBorder="1" applyAlignment="1">
      <alignment horizontal="center" vertical="center"/>
    </xf>
    <xf numFmtId="2" fontId="15" fillId="11" borderId="9" xfId="0" applyNumberFormat="1" applyFont="1" applyFill="1" applyBorder="1" applyAlignment="1">
      <alignment horizontal="center" vertical="center"/>
    </xf>
    <xf numFmtId="0" fontId="15" fillId="11" borderId="41" xfId="0" applyFont="1" applyFill="1" applyBorder="1" applyAlignment="1">
      <alignment horizontal="left" vertical="center"/>
    </xf>
    <xf numFmtId="2" fontId="15" fillId="11" borderId="41" xfId="0" applyNumberFormat="1" applyFont="1" applyFill="1" applyBorder="1" applyAlignment="1">
      <alignment horizontal="center" vertical="center"/>
    </xf>
    <xf numFmtId="0" fontId="15" fillId="10" borderId="8" xfId="0" applyFont="1" applyFill="1" applyBorder="1" applyAlignment="1">
      <alignment horizontal="left" vertical="center"/>
    </xf>
    <xf numFmtId="0" fontId="15" fillId="10" borderId="9" xfId="0" applyFont="1" applyFill="1" applyBorder="1" applyAlignment="1">
      <alignment horizontal="left" vertical="center"/>
    </xf>
    <xf numFmtId="0" fontId="15" fillId="9" borderId="8" xfId="0" applyFont="1" applyFill="1" applyBorder="1" applyAlignment="1">
      <alignment horizontal="left" vertical="center"/>
    </xf>
    <xf numFmtId="0" fontId="15" fillId="9" borderId="41" xfId="0" applyFont="1" applyFill="1" applyBorder="1" applyAlignment="1">
      <alignment horizontal="left" vertical="center"/>
    </xf>
    <xf numFmtId="2" fontId="15" fillId="10" borderId="8" xfId="0" applyNumberFormat="1" applyFont="1" applyFill="1" applyBorder="1" applyAlignment="1">
      <alignment horizontal="center" vertical="center"/>
    </xf>
    <xf numFmtId="2" fontId="15" fillId="10" borderId="9" xfId="0" applyNumberFormat="1" applyFont="1" applyFill="1" applyBorder="1" applyAlignment="1">
      <alignment horizontal="center" vertical="center"/>
    </xf>
    <xf numFmtId="0" fontId="15" fillId="13" borderId="22" xfId="0" applyFont="1" applyFill="1" applyBorder="1" applyAlignment="1">
      <alignment horizontal="left" vertical="center"/>
    </xf>
    <xf numFmtId="0" fontId="15" fillId="13" borderId="39" xfId="0" applyFont="1" applyFill="1" applyBorder="1" applyAlignment="1">
      <alignment horizontal="left" vertical="center"/>
    </xf>
    <xf numFmtId="0" fontId="16" fillId="0" borderId="7" xfId="0" applyFont="1" applyBorder="1" applyAlignment="1">
      <alignment horizontal="center"/>
    </xf>
    <xf numFmtId="0" fontId="16" fillId="0" borderId="55" xfId="0" applyFont="1" applyFill="1" applyBorder="1" applyAlignment="1">
      <alignment horizontal="center"/>
    </xf>
    <xf numFmtId="0" fontId="16" fillId="0" borderId="56" xfId="0" applyFont="1" applyFill="1" applyBorder="1" applyAlignment="1">
      <alignment horizontal="center"/>
    </xf>
    <xf numFmtId="2" fontId="15" fillId="12" borderId="8" xfId="0" applyNumberFormat="1" applyFont="1" applyFill="1" applyBorder="1" applyAlignment="1">
      <alignment horizontal="center" vertical="center"/>
    </xf>
    <xf numFmtId="2" fontId="15" fillId="12" borderId="9" xfId="0" applyNumberFormat="1" applyFont="1" applyFill="1" applyBorder="1" applyAlignment="1">
      <alignment horizontal="center" vertical="center"/>
    </xf>
    <xf numFmtId="0" fontId="16" fillId="0" borderId="39" xfId="0" applyFont="1" applyFill="1" applyBorder="1" applyAlignment="1">
      <alignment horizontal="center"/>
    </xf>
    <xf numFmtId="0" fontId="16" fillId="0" borderId="40" xfId="0" applyFont="1" applyFill="1" applyBorder="1" applyAlignment="1">
      <alignment horizontal="center"/>
    </xf>
    <xf numFmtId="2" fontId="15" fillId="13" borderId="8" xfId="0" applyNumberFormat="1" applyFont="1" applyFill="1" applyBorder="1" applyAlignment="1">
      <alignment horizontal="center" vertical="center"/>
    </xf>
    <xf numFmtId="2" fontId="15" fillId="13" borderId="9" xfId="0" applyNumberFormat="1" applyFont="1" applyFill="1" applyBorder="1" applyAlignment="1">
      <alignment horizontal="center" vertic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6" fillId="0" borderId="22" xfId="0" applyFont="1" applyBorder="1" applyAlignment="1">
      <alignment horizontal="center"/>
    </xf>
    <xf numFmtId="0" fontId="16" fillId="0" borderId="21" xfId="0" applyFont="1" applyBorder="1" applyAlignment="1">
      <alignment horizontal="center"/>
    </xf>
    <xf numFmtId="0" fontId="16" fillId="0" borderId="32" xfId="0" applyFont="1" applyBorder="1" applyAlignment="1">
      <alignment horizontal="center"/>
    </xf>
    <xf numFmtId="0" fontId="16" fillId="0" borderId="33" xfId="0" applyFont="1" applyBorder="1" applyAlignment="1">
      <alignment horizontal="center"/>
    </xf>
    <xf numFmtId="0" fontId="16" fillId="0" borderId="52" xfId="0" applyFont="1" applyBorder="1" applyAlignment="1">
      <alignment horizontal="center"/>
    </xf>
    <xf numFmtId="0" fontId="16" fillId="0" borderId="53" xfId="0" applyFont="1" applyBorder="1" applyAlignment="1">
      <alignment horizontal="center"/>
    </xf>
    <xf numFmtId="0" fontId="1" fillId="0" borderId="0" xfId="0" applyFont="1" applyBorder="1" applyAlignment="1">
      <alignment horizontal="left"/>
    </xf>
    <xf numFmtId="0" fontId="16" fillId="0" borderId="39" xfId="0" applyFont="1" applyBorder="1" applyAlignment="1">
      <alignment horizontal="center"/>
    </xf>
    <xf numFmtId="0" fontId="16" fillId="0" borderId="40" xfId="0" applyFont="1" applyBorder="1" applyAlignment="1">
      <alignment horizontal="center"/>
    </xf>
    <xf numFmtId="0" fontId="14" fillId="0" borderId="46" xfId="0" applyFont="1" applyFill="1" applyBorder="1" applyAlignment="1">
      <alignment horizontal="center"/>
    </xf>
    <xf numFmtId="0" fontId="14" fillId="0" borderId="47" xfId="0" applyFont="1" applyFill="1" applyBorder="1" applyAlignment="1">
      <alignment horizontal="center"/>
    </xf>
    <xf numFmtId="0" fontId="14" fillId="0" borderId="48" xfId="0" applyFont="1" applyFill="1" applyBorder="1" applyAlignment="1">
      <alignment horizontal="center"/>
    </xf>
    <xf numFmtId="2" fontId="15" fillId="12" borderId="41" xfId="0" applyNumberFormat="1" applyFont="1" applyFill="1" applyBorder="1" applyAlignment="1">
      <alignment horizontal="center" vertical="center"/>
    </xf>
    <xf numFmtId="2" fontId="15" fillId="13" borderId="21" xfId="0" applyNumberFormat="1" applyFont="1" applyFill="1" applyBorder="1" applyAlignment="1">
      <alignment horizontal="center" vertical="center"/>
    </xf>
    <xf numFmtId="2" fontId="15" fillId="13" borderId="33" xfId="0" applyNumberFormat="1" applyFont="1" applyFill="1" applyBorder="1" applyAlignment="1">
      <alignment horizontal="center" vertical="center"/>
    </xf>
    <xf numFmtId="2" fontId="15" fillId="9" borderId="8" xfId="0" applyNumberFormat="1" applyFont="1" applyFill="1" applyBorder="1" applyAlignment="1">
      <alignment horizontal="center" vertical="center"/>
    </xf>
    <xf numFmtId="2" fontId="15" fillId="9" borderId="41" xfId="0" applyNumberFormat="1" applyFont="1" applyFill="1" applyBorder="1" applyAlignment="1">
      <alignment horizontal="center" vertical="center"/>
    </xf>
    <xf numFmtId="2" fontId="15" fillId="9" borderId="9" xfId="0" applyNumberFormat="1" applyFont="1" applyFill="1" applyBorder="1" applyAlignment="1">
      <alignment horizontal="center" vertical="center"/>
    </xf>
    <xf numFmtId="0" fontId="15" fillId="9" borderId="22" xfId="0" applyFont="1" applyFill="1" applyBorder="1" applyAlignment="1">
      <alignment horizontal="left" vertical="center"/>
    </xf>
    <xf numFmtId="0" fontId="15" fillId="9" borderId="32" xfId="0" applyFont="1" applyFill="1" applyBorder="1" applyAlignment="1">
      <alignment horizontal="left" vertical="center"/>
    </xf>
    <xf numFmtId="0" fontId="15" fillId="9" borderId="39" xfId="0" applyFont="1" applyFill="1" applyBorder="1" applyAlignment="1">
      <alignment horizontal="left" vertical="center"/>
    </xf>
    <xf numFmtId="2" fontId="15" fillId="9" borderId="7" xfId="0" applyNumberFormat="1" applyFont="1" applyFill="1" applyBorder="1" applyAlignment="1">
      <alignment horizontal="center" vertical="center"/>
    </xf>
    <xf numFmtId="2" fontId="15" fillId="9" borderId="12" xfId="0" applyNumberFormat="1" applyFont="1" applyFill="1" applyBorder="1" applyAlignment="1">
      <alignment horizontal="center" vertical="center"/>
    </xf>
    <xf numFmtId="0" fontId="15" fillId="14" borderId="22" xfId="0" applyFont="1" applyFill="1" applyBorder="1" applyAlignment="1">
      <alignment horizontal="center"/>
    </xf>
    <xf numFmtId="0" fontId="15" fillId="14" borderId="42" xfId="0" applyFont="1" applyFill="1" applyBorder="1" applyAlignment="1">
      <alignment horizontal="center"/>
    </xf>
    <xf numFmtId="0" fontId="15" fillId="14" borderId="21" xfId="0" applyFont="1" applyFill="1" applyBorder="1" applyAlignment="1">
      <alignment horizontal="center"/>
    </xf>
    <xf numFmtId="0" fontId="15" fillId="18" borderId="32" xfId="0" applyFont="1" applyFill="1" applyBorder="1" applyAlignment="1">
      <alignment horizontal="center"/>
    </xf>
    <xf numFmtId="0" fontId="15" fillId="18" borderId="0" xfId="0" applyFont="1" applyFill="1" applyBorder="1" applyAlignment="1">
      <alignment horizontal="center"/>
    </xf>
    <xf numFmtId="0" fontId="15" fillId="18" borderId="33" xfId="0" applyFont="1" applyFill="1" applyBorder="1" applyAlignment="1">
      <alignment horizontal="center"/>
    </xf>
    <xf numFmtId="0" fontId="11" fillId="0" borderId="7" xfId="0" applyFont="1" applyBorder="1" applyAlignment="1">
      <alignment horizontal="center" vertical="center"/>
    </xf>
    <xf numFmtId="2" fontId="20" fillId="0" borderId="7" xfId="0" applyNumberFormat="1" applyFont="1" applyBorder="1" applyAlignment="1">
      <alignment horizontal="center" vertical="center"/>
    </xf>
    <xf numFmtId="0" fontId="20" fillId="11" borderId="7"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5" fillId="9" borderId="9" xfId="0" applyFont="1" applyFill="1" applyBorder="1" applyAlignment="1">
      <alignment horizontal="left" vertical="center"/>
    </xf>
    <xf numFmtId="0" fontId="15" fillId="5" borderId="8" xfId="0" applyFont="1" applyFill="1" applyBorder="1" applyAlignment="1">
      <alignment horizontal="left" vertical="center"/>
    </xf>
    <xf numFmtId="0" fontId="15" fillId="5" borderId="41" xfId="0" applyFont="1" applyFill="1" applyBorder="1" applyAlignment="1">
      <alignment horizontal="left" vertical="center"/>
    </xf>
    <xf numFmtId="0" fontId="15" fillId="5" borderId="9" xfId="0" applyFont="1" applyFill="1" applyBorder="1" applyAlignment="1">
      <alignment horizontal="left" vertical="center"/>
    </xf>
    <xf numFmtId="0" fontId="15" fillId="0" borderId="39" xfId="0" applyFont="1" applyFill="1" applyBorder="1" applyAlignment="1">
      <alignment horizontal="center"/>
    </xf>
    <xf numFmtId="0" fontId="15" fillId="0" borderId="38" xfId="0" applyFont="1" applyFill="1" applyBorder="1" applyAlignment="1">
      <alignment horizontal="center"/>
    </xf>
    <xf numFmtId="0" fontId="15" fillId="0" borderId="40" xfId="0" applyFont="1" applyFill="1" applyBorder="1" applyAlignment="1">
      <alignment horizont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2" fillId="0" borderId="0" xfId="0" applyFont="1" applyAlignment="1" applyProtection="1">
      <alignment horizontal="center"/>
    </xf>
    <xf numFmtId="0" fontId="14" fillId="0" borderId="7" xfId="0" applyFont="1" applyBorder="1" applyAlignment="1">
      <alignment horizontal="center" vertical="center"/>
    </xf>
    <xf numFmtId="0" fontId="20" fillId="9" borderId="7" xfId="0" applyFont="1" applyFill="1" applyBorder="1" applyAlignment="1">
      <alignment horizontal="center" vertical="center"/>
    </xf>
    <xf numFmtId="0" fontId="20" fillId="10" borderId="7" xfId="0" applyFont="1" applyFill="1" applyBorder="1" applyAlignment="1">
      <alignment horizontal="center" vertical="center"/>
    </xf>
    <xf numFmtId="0" fontId="20" fillId="12" borderId="22" xfId="0" applyFont="1" applyFill="1" applyBorder="1" applyAlignment="1">
      <alignment horizontal="center" vertical="center"/>
    </xf>
    <xf numFmtId="0" fontId="20" fillId="12" borderId="21" xfId="0" applyFont="1" applyFill="1" applyBorder="1" applyAlignment="1">
      <alignment horizontal="center" vertical="center"/>
    </xf>
    <xf numFmtId="0" fontId="20" fillId="12" borderId="32" xfId="0" applyFont="1" applyFill="1" applyBorder="1" applyAlignment="1">
      <alignment horizontal="center" vertical="center"/>
    </xf>
    <xf numFmtId="0" fontId="20" fillId="12" borderId="33" xfId="0" applyFont="1" applyFill="1" applyBorder="1" applyAlignment="1">
      <alignment horizontal="center" vertical="center"/>
    </xf>
    <xf numFmtId="0" fontId="20" fillId="12" borderId="39" xfId="0" applyFont="1" applyFill="1" applyBorder="1" applyAlignment="1">
      <alignment horizontal="center" vertical="center"/>
    </xf>
    <xf numFmtId="0" fontId="20" fillId="12" borderId="40" xfId="0" applyFont="1" applyFill="1" applyBorder="1" applyAlignment="1">
      <alignment horizontal="center" vertical="center"/>
    </xf>
    <xf numFmtId="2" fontId="20" fillId="0" borderId="8" xfId="0" applyNumberFormat="1" applyFont="1" applyBorder="1" applyAlignment="1">
      <alignment horizontal="center" vertical="center"/>
    </xf>
    <xf numFmtId="2" fontId="20" fillId="0" borderId="41" xfId="0" applyNumberFormat="1" applyFont="1" applyBorder="1" applyAlignment="1">
      <alignment horizontal="center" vertical="center"/>
    </xf>
    <xf numFmtId="2" fontId="20" fillId="0" borderId="9" xfId="0" applyNumberFormat="1" applyFont="1" applyBorder="1" applyAlignment="1">
      <alignment horizontal="center" vertical="center"/>
    </xf>
    <xf numFmtId="2" fontId="20" fillId="0" borderId="22" xfId="0" applyNumberFormat="1" applyFont="1" applyBorder="1" applyAlignment="1">
      <alignment horizontal="center" vertical="center"/>
    </xf>
    <xf numFmtId="2" fontId="20" fillId="0" borderId="21" xfId="0" applyNumberFormat="1" applyFont="1" applyBorder="1" applyAlignment="1">
      <alignment horizontal="center" vertical="center"/>
    </xf>
    <xf numFmtId="2" fontId="20" fillId="0" borderId="32" xfId="0" applyNumberFormat="1" applyFont="1" applyBorder="1" applyAlignment="1">
      <alignment horizontal="center" vertical="center"/>
    </xf>
    <xf numFmtId="2" fontId="20" fillId="0" borderId="33"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20" fillId="13" borderId="22" xfId="0" applyFont="1" applyFill="1" applyBorder="1" applyAlignment="1">
      <alignment horizontal="center" vertical="center"/>
    </xf>
    <xf numFmtId="0" fontId="20" fillId="13" borderId="21" xfId="0" applyFont="1" applyFill="1" applyBorder="1" applyAlignment="1">
      <alignment horizontal="center" vertical="center"/>
    </xf>
    <xf numFmtId="0" fontId="20" fillId="13" borderId="32" xfId="0" applyFont="1" applyFill="1" applyBorder="1" applyAlignment="1">
      <alignment horizontal="center" vertical="center"/>
    </xf>
    <xf numFmtId="0" fontId="20" fillId="13" borderId="33" xfId="0" applyFont="1" applyFill="1" applyBorder="1" applyAlignment="1">
      <alignment horizontal="center" vertical="center"/>
    </xf>
    <xf numFmtId="0" fontId="20" fillId="13" borderId="39" xfId="0" applyFont="1" applyFill="1" applyBorder="1" applyAlignment="1">
      <alignment horizontal="center" vertical="center"/>
    </xf>
    <xf numFmtId="0" fontId="20" fillId="13" borderId="40" xfId="0" applyFont="1" applyFill="1" applyBorder="1" applyAlignment="1">
      <alignment horizontal="center" vertical="center"/>
    </xf>
    <xf numFmtId="0" fontId="1" fillId="0" borderId="10" xfId="0" applyFont="1" applyBorder="1" applyAlignment="1" applyProtection="1">
      <alignment horizontal="left" vertical="center"/>
    </xf>
    <xf numFmtId="0" fontId="1" fillId="0" borderId="12" xfId="0" applyFont="1" applyBorder="1" applyAlignment="1" applyProtection="1">
      <alignment horizontal="left" vertical="center"/>
    </xf>
    <xf numFmtId="0" fontId="16" fillId="0" borderId="7" xfId="0" applyFont="1" applyBorder="1" applyAlignment="1" applyProtection="1">
      <alignment horizontal="left" vertical="center"/>
    </xf>
    <xf numFmtId="0" fontId="14" fillId="18" borderId="7" xfId="0" applyFont="1" applyFill="1" applyBorder="1" applyAlignment="1" applyProtection="1">
      <alignment horizontal="center" vertical="center"/>
      <protection locked="0"/>
    </xf>
    <xf numFmtId="0" fontId="11" fillId="0" borderId="22"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7" xfId="0" applyFont="1" applyBorder="1" applyAlignment="1" applyProtection="1">
      <alignment horizontal="center"/>
    </xf>
    <xf numFmtId="0" fontId="15" fillId="17" borderId="7" xfId="0" applyFont="1" applyFill="1" applyBorder="1" applyAlignment="1" applyProtection="1">
      <alignment horizontal="center" vertical="center" wrapText="1"/>
    </xf>
    <xf numFmtId="0" fontId="15" fillId="18" borderId="7" xfId="0" applyFont="1" applyFill="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5" fillId="0" borderId="10" xfId="0" applyFont="1" applyFill="1" applyBorder="1" applyAlignment="1" applyProtection="1">
      <alignment horizontal="center"/>
    </xf>
    <xf numFmtId="0" fontId="15" fillId="0" borderId="12" xfId="0" applyFont="1" applyFill="1" applyBorder="1" applyAlignment="1" applyProtection="1">
      <alignment horizontal="center"/>
    </xf>
    <xf numFmtId="0" fontId="10" fillId="8" borderId="7" xfId="0" applyFont="1" applyFill="1" applyBorder="1" applyAlignment="1" applyProtection="1">
      <alignment horizontal="left" vertical="center" wrapText="1"/>
      <protection locked="0"/>
    </xf>
    <xf numFmtId="0" fontId="15" fillId="8" borderId="7" xfId="0" applyFont="1" applyFill="1" applyBorder="1" applyAlignment="1" applyProtection="1">
      <alignment horizontal="center" vertical="center"/>
    </xf>
    <xf numFmtId="0" fontId="9" fillId="0" borderId="0" xfId="0" applyFont="1" applyAlignment="1">
      <alignment horizontal="center" vertical="center"/>
    </xf>
    <xf numFmtId="0" fontId="0" fillId="0" borderId="1" xfId="0" applyBorder="1" applyAlignment="1">
      <alignment horizontal="left" vertical="center" wrapText="1"/>
    </xf>
    <xf numFmtId="0" fontId="0" fillId="0" borderId="43" xfId="0" applyBorder="1" applyAlignment="1">
      <alignment horizontal="left" vertical="center" wrapText="1"/>
    </xf>
    <xf numFmtId="0" fontId="0" fillId="0" borderId="0" xfId="0" applyFill="1" applyAlignment="1">
      <alignment horizontal="center"/>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15" fillId="13" borderId="8" xfId="0" applyFont="1" applyFill="1" applyBorder="1" applyAlignment="1">
      <alignment horizontal="center" vertical="center"/>
    </xf>
    <xf numFmtId="0" fontId="15" fillId="13" borderId="9" xfId="0" applyFont="1" applyFill="1" applyBorder="1" applyAlignment="1">
      <alignment horizontal="center" vertical="center"/>
    </xf>
    <xf numFmtId="0" fontId="11" fillId="0" borderId="7" xfId="0" applyFont="1" applyBorder="1" applyAlignment="1">
      <alignment horizontal="center"/>
    </xf>
    <xf numFmtId="0" fontId="20" fillId="13" borderId="7" xfId="0" applyFont="1" applyFill="1" applyBorder="1" applyAlignment="1">
      <alignment horizontal="center" vertical="center"/>
    </xf>
    <xf numFmtId="0" fontId="20" fillId="12" borderId="7" xfId="0" applyFont="1" applyFill="1" applyBorder="1" applyAlignment="1">
      <alignment horizontal="center" vertical="center"/>
    </xf>
    <xf numFmtId="0" fontId="11" fillId="17" borderId="8" xfId="0" applyFont="1" applyFill="1" applyBorder="1" applyAlignment="1">
      <alignment horizontal="center" vertical="center"/>
    </xf>
    <xf numFmtId="0" fontId="11" fillId="17" borderId="9" xfId="0" applyFont="1" applyFill="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17" borderId="8"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5" fillId="9" borderId="8" xfId="0" applyFont="1" applyFill="1" applyBorder="1" applyAlignment="1">
      <alignment horizontal="center" vertical="center"/>
    </xf>
    <xf numFmtId="0" fontId="15" fillId="9" borderId="41" xfId="0" applyFont="1" applyFill="1" applyBorder="1" applyAlignment="1">
      <alignment horizontal="center" vertical="center"/>
    </xf>
    <xf numFmtId="0" fontId="15" fillId="11" borderId="8" xfId="0" applyFont="1" applyFill="1" applyBorder="1" applyAlignment="1">
      <alignment horizontal="center" vertical="center"/>
    </xf>
    <xf numFmtId="0" fontId="15" fillId="11" borderId="41" xfId="0" applyFont="1" applyFill="1" applyBorder="1" applyAlignment="1">
      <alignment horizontal="center" vertical="center"/>
    </xf>
    <xf numFmtId="0" fontId="15" fillId="11"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9" xfId="0" applyFont="1" applyFill="1" applyBorder="1" applyAlignment="1">
      <alignment horizontal="center" vertical="center"/>
    </xf>
  </cellXfs>
  <cellStyles count="4">
    <cellStyle name="40% - Accent1" xfId="3" builtinId="31"/>
    <cellStyle name="Normal" xfId="0" builtinId="0"/>
    <cellStyle name="Normal 2" xfId="1"/>
    <cellStyle name="Percent" xfId="2" builtinId="5"/>
  </cellStyles>
  <dxfs count="2119">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ont>
        <color theme="0"/>
      </font>
    </dxf>
    <dxf>
      <font>
        <color theme="0"/>
      </font>
    </dxf>
    <dxf>
      <font>
        <color theme="0"/>
      </font>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00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00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ont>
        <color auto="1"/>
      </font>
      <fill>
        <patternFill>
          <bgColor rgb="FF00B050"/>
        </patternFill>
      </fill>
    </dxf>
    <dxf>
      <fill>
        <patternFill>
          <bgColor rgb="FFFFFF00"/>
        </patternFill>
      </fill>
    </dxf>
    <dxf>
      <fill>
        <patternFill>
          <bgColor rgb="FFFF00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
      <fill>
        <patternFill>
          <bgColor rgb="FF00B050"/>
        </patternFill>
      </fill>
    </dxf>
    <dxf>
      <font>
        <strike val="0"/>
        <color auto="1"/>
      </font>
      <fill>
        <patternFill patternType="solid">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BHR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BHR</c:v>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7.965476899511216E-2"/>
                  <c:y val="-0.57478724670455561"/>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Standards'!$K$10:$P$10</c:f>
              <c:numCache>
                <c:formatCode>General</c:formatCode>
                <c:ptCount val="6"/>
                <c:pt idx="1">
                  <c:v>1.6</c:v>
                </c:pt>
                <c:pt idx="2">
                  <c:v>1.5</c:v>
                </c:pt>
                <c:pt idx="4">
                  <c:v>1.2</c:v>
                </c:pt>
                <c:pt idx="5">
                  <c:v>1</c:v>
                </c:pt>
              </c:numCache>
            </c:numRef>
          </c:xVal>
          <c:yVal>
            <c:numRef>
              <c:f>'Performance Standards'!$K$11:$P$11</c:f>
              <c:numCache>
                <c:formatCode>General</c:formatCode>
                <c:ptCount val="6"/>
                <c:pt idx="0">
                  <c:v>0</c:v>
                </c:pt>
                <c:pt idx="1">
                  <c:v>0.2</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C266-4796-88E9-230BE821F3E6}"/>
            </c:ext>
          </c:extLst>
        </c:ser>
        <c:ser>
          <c:idx val="1"/>
          <c:order val="1"/>
          <c:spPr>
            <a:ln w="25400" cap="rnd">
              <a:solidFill>
                <a:srgbClr val="FF0000"/>
              </a:solidFill>
              <a:round/>
            </a:ln>
            <a:effectLst/>
          </c:spPr>
          <c:marker>
            <c:symbol val="none"/>
          </c:marker>
          <c:xVal>
            <c:numLit>
              <c:formatCode>General</c:formatCode>
              <c:ptCount val="2"/>
              <c:pt idx="0">
                <c:v>1.61</c:v>
              </c:pt>
              <c:pt idx="1">
                <c:v>1.8</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1-42DB-4A1D-8764-4AC5BCCDC40D}"/>
            </c:ext>
          </c:extLst>
        </c:ser>
        <c:dLbls>
          <c:showLegendKey val="0"/>
          <c:showVal val="0"/>
          <c:showCatName val="0"/>
          <c:showSerName val="0"/>
          <c:showPercent val="0"/>
          <c:showBubbleSize val="0"/>
        </c:dLbls>
        <c:axId val="256583344"/>
        <c:axId val="256583904"/>
      </c:scatterChart>
      <c:valAx>
        <c:axId val="256583344"/>
        <c:scaling>
          <c:orientation val="minMax"/>
          <c:max val="1.8"/>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583904"/>
        <c:crosses val="autoZero"/>
        <c:crossBetween val="midCat"/>
      </c:valAx>
      <c:valAx>
        <c:axId val="2565839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583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Depth Ratio for sand bed C and E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8124399256793883"/>
                  <c:y val="0.1331465900210184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Standards'!$S$517:$X$517</c:f>
              <c:numCache>
                <c:formatCode>General</c:formatCode>
                <c:ptCount val="6"/>
                <c:pt idx="0" formatCode="0.00">
                  <c:v>1.1000000000000001</c:v>
                </c:pt>
                <c:pt idx="2">
                  <c:v>1.1499999999999999</c:v>
                </c:pt>
                <c:pt idx="4">
                  <c:v>1.21</c:v>
                </c:pt>
                <c:pt idx="5" formatCode="0.00">
                  <c:v>1.2513000000000001</c:v>
                </c:pt>
              </c:numCache>
            </c:numRef>
          </c:xVal>
          <c:yVal>
            <c:numRef>
              <c:f>'Performance Standards'!$S$518:$X$518</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0685-4A88-A253-CC374FDFCA12}"/>
            </c:ext>
          </c:extLst>
        </c:ser>
        <c:dLbls>
          <c:showLegendKey val="0"/>
          <c:showVal val="0"/>
          <c:showCatName val="0"/>
          <c:showSerName val="0"/>
          <c:showPercent val="0"/>
          <c:showBubbleSize val="0"/>
        </c:dLbls>
        <c:axId val="444624864"/>
        <c:axId val="444625424"/>
      </c:scatterChart>
      <c:valAx>
        <c:axId val="444624864"/>
        <c:scaling>
          <c:orientation val="minMax"/>
          <c:max val="1.35"/>
          <c:min val="1"/>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25424"/>
        <c:crosses val="autoZero"/>
        <c:crossBetween val="midCat"/>
      </c:valAx>
      <c:valAx>
        <c:axId val="4446254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24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Depth Ratio for A, B and Bc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5864819966999727"/>
                  <c:y val="0.2313103937456772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Standards'!$U$551:$X$551</c:f>
              <c:numCache>
                <c:formatCode>General</c:formatCode>
                <c:ptCount val="4"/>
                <c:pt idx="0">
                  <c:v>1.2</c:v>
                </c:pt>
                <c:pt idx="2">
                  <c:v>1.51</c:v>
                </c:pt>
                <c:pt idx="3" formatCode="0.00">
                  <c:v>1.7425404944586531</c:v>
                </c:pt>
              </c:numCache>
            </c:numRef>
          </c:xVal>
          <c:yVal>
            <c:numRef>
              <c:f>'Performance Standards'!$U$552:$X$552</c:f>
              <c:numCache>
                <c:formatCode>General</c:formatCode>
                <c:ptCount val="4"/>
                <c:pt idx="0">
                  <c:v>0.3</c:v>
                </c:pt>
                <c:pt idx="1">
                  <c:v>0.69</c:v>
                </c:pt>
                <c:pt idx="2">
                  <c:v>0.7</c:v>
                </c:pt>
                <c:pt idx="3">
                  <c:v>1</c:v>
                </c:pt>
              </c:numCache>
            </c:numRef>
          </c:yVal>
          <c:smooth val="0"/>
          <c:extLst xmlns:c16r2="http://schemas.microsoft.com/office/drawing/2015/06/chart">
            <c:ext xmlns:c16="http://schemas.microsoft.com/office/drawing/2014/chart" uri="{C3380CC4-5D6E-409C-BE32-E72D297353CC}">
              <c16:uniqueId val="{00000000-12A8-4C81-9017-6694A81055E9}"/>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6.1416502135941964E-2"/>
                  <c:y val="0.1093976148544584"/>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Standards'!$S$551:$U$551</c:f>
              <c:numCache>
                <c:formatCode>General</c:formatCode>
                <c:ptCount val="3"/>
                <c:pt idx="0" formatCode="0.00">
                  <c:v>1.1000000000000001</c:v>
                </c:pt>
                <c:pt idx="2">
                  <c:v>1.2</c:v>
                </c:pt>
              </c:numCache>
            </c:numRef>
          </c:xVal>
          <c:yVal>
            <c:numRef>
              <c:f>'Performance Standards'!$S$552:$U$552</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0-0E53-4C23-8B88-B8B9985A029B}"/>
            </c:ext>
          </c:extLst>
        </c:ser>
        <c:dLbls>
          <c:showLegendKey val="0"/>
          <c:showVal val="0"/>
          <c:showCatName val="0"/>
          <c:showSerName val="0"/>
          <c:showPercent val="0"/>
          <c:showBubbleSize val="0"/>
        </c:dLbls>
        <c:axId val="440097088"/>
        <c:axId val="440097648"/>
      </c:scatterChart>
      <c:valAx>
        <c:axId val="440097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097648"/>
        <c:crosses val="autoZero"/>
        <c:crossBetween val="midCat"/>
      </c:valAx>
      <c:valAx>
        <c:axId val="4400976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0970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Sinuosity</a:t>
            </a:r>
            <a:r>
              <a:rPr lang="en-US" baseline="0"/>
              <a:t> for E5 S</a:t>
            </a:r>
            <a:r>
              <a:rPr lang="en-US"/>
              <a:t>treams in Unconfined</a:t>
            </a:r>
            <a:r>
              <a:rPr lang="en-US" baseline="0"/>
              <a:t> Alluvial Valleys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layout>
                <c:manualLayout>
                  <c:x val="-0.16986305677520133"/>
                  <c:y val="-0.1160265143344977"/>
                </c:manualLayout>
              </c:layout>
              <c:numFmt formatCode="#,##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Standards'!$S$719:$W$719</c:f>
              <c:numCache>
                <c:formatCode>General</c:formatCode>
                <c:ptCount val="5"/>
                <c:pt idx="2">
                  <c:v>1.8</c:v>
                </c:pt>
                <c:pt idx="3">
                  <c:v>1.61</c:v>
                </c:pt>
              </c:numCache>
            </c:numRef>
          </c:xVal>
          <c:yVal>
            <c:numRef>
              <c:f>'Performance Standards'!$S$720:$W$720</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0224-4D2B-89F3-7EEE960BF694}"/>
            </c:ext>
          </c:extLst>
        </c:ser>
        <c:ser>
          <c:idx val="2"/>
          <c:order val="1"/>
          <c:tx>
            <c:v>Ceiling</c:v>
          </c:tx>
          <c:spPr>
            <a:ln w="25400" cap="rnd">
              <a:solidFill>
                <a:srgbClr val="FF0000"/>
              </a:solidFill>
              <a:round/>
            </a:ln>
            <a:effectLst/>
          </c:spPr>
          <c:marker>
            <c:symbol val="none"/>
          </c:marker>
          <c:xVal>
            <c:numRef>
              <c:f>'Performance Standards'!$X$718:$X$719</c:f>
              <c:numCache>
                <c:formatCode>General</c:formatCode>
                <c:ptCount val="2"/>
                <c:pt idx="0">
                  <c:v>1.3</c:v>
                </c:pt>
                <c:pt idx="1">
                  <c:v>1.6</c:v>
                </c:pt>
              </c:numCache>
            </c:numRef>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0-5DAB-4006-9EBD-64786ED791AB}"/>
            </c:ext>
          </c:extLst>
        </c:ser>
        <c:ser>
          <c:idx val="3"/>
          <c:order val="2"/>
          <c:tx>
            <c:v>Floor - Left</c:v>
          </c:tx>
          <c:spPr>
            <a:ln w="31750" cap="rnd">
              <a:solidFill>
                <a:srgbClr val="FF0000"/>
              </a:solidFill>
              <a:round/>
            </a:ln>
            <a:effectLst/>
          </c:spPr>
          <c:marker>
            <c:symbol val="none"/>
          </c:marker>
          <c:xVal>
            <c:numLit>
              <c:formatCode>General</c:formatCode>
              <c:ptCount val="2"/>
              <c:pt idx="0">
                <c:v>1</c:v>
              </c:pt>
              <c:pt idx="1">
                <c:v>1.29</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3-A748-4E35-B9A2-7F4451F49275}"/>
            </c:ext>
          </c:extLst>
        </c:ser>
        <c:ser>
          <c:idx val="4"/>
          <c:order val="3"/>
          <c:tx>
            <c:v>Floor- Right</c:v>
          </c:tx>
          <c:spPr>
            <a:ln w="31750" cap="rnd">
              <a:solidFill>
                <a:srgbClr val="FF0000"/>
              </a:solidFill>
              <a:round/>
            </a:ln>
            <a:effectLst/>
          </c:spPr>
          <c:marker>
            <c:symbol val="none"/>
          </c:marker>
          <c:xVal>
            <c:numLit>
              <c:formatCode>General</c:formatCode>
              <c:ptCount val="2"/>
              <c:pt idx="0">
                <c:v>1.81</c:v>
              </c:pt>
              <c:pt idx="1">
                <c:v>2</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4-A748-4E35-B9A2-7F4451F49275}"/>
            </c:ext>
          </c:extLst>
        </c:ser>
        <c:dLbls>
          <c:showLegendKey val="0"/>
          <c:showVal val="0"/>
          <c:showCatName val="0"/>
          <c:showSerName val="0"/>
          <c:showPercent val="0"/>
          <c:showBubbleSize val="0"/>
        </c:dLbls>
        <c:axId val="440101008"/>
        <c:axId val="440101568"/>
      </c:scatterChart>
      <c:valAx>
        <c:axId val="440101008"/>
        <c:scaling>
          <c:orientation val="minMax"/>
          <c:max val="2"/>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1568"/>
        <c:crosses val="autoZero"/>
        <c:crossBetween val="midCat"/>
      </c:valAx>
      <c:valAx>
        <c:axId val="440101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10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Streams &lt; 3% slope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7094801981634686"/>
                  <c:y val="0.16074729879818395"/>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Standards'!$S$584:$X$584</c:f>
              <c:numCache>
                <c:formatCode>General</c:formatCode>
                <c:ptCount val="6"/>
                <c:pt idx="0" formatCode="0">
                  <c:v>31.428571428571427</c:v>
                </c:pt>
                <c:pt idx="2">
                  <c:v>40</c:v>
                </c:pt>
                <c:pt idx="5">
                  <c:v>60</c:v>
                </c:pt>
              </c:numCache>
            </c:numRef>
          </c:xVal>
          <c:yVal>
            <c:numRef>
              <c:f>'Performance Standards'!$S$586:$X$586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33CC-400E-91D8-8DB0C3E7DC9D}"/>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layout>
                <c:manualLayout>
                  <c:x val="-2.8311500997831546E-2"/>
                  <c:y val="-3.5539841744354539E-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Standards'!$S$585:$X$585</c:f>
              <c:numCache>
                <c:formatCode>General</c:formatCode>
                <c:ptCount val="6"/>
                <c:pt idx="0" formatCode="0">
                  <c:v>83.29</c:v>
                </c:pt>
                <c:pt idx="2">
                  <c:v>80</c:v>
                </c:pt>
                <c:pt idx="3">
                  <c:v>75</c:v>
                </c:pt>
                <c:pt idx="5">
                  <c:v>70</c:v>
                </c:pt>
              </c:numCache>
            </c:numRef>
          </c:xVal>
          <c:yVal>
            <c:numRef>
              <c:f>'Performance Standards'!$S$586:$X$586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33CC-400E-91D8-8DB0C3E7DC9D}"/>
            </c:ext>
          </c:extLst>
        </c:ser>
        <c:ser>
          <c:idx val="2"/>
          <c:order val="2"/>
          <c:spPr>
            <a:ln w="25400" cap="rnd">
              <a:noFill/>
              <a:round/>
            </a:ln>
            <a:effectLst/>
          </c:spPr>
          <c:marker>
            <c:symbol val="circle"/>
            <c:size val="5"/>
            <c:spPr>
              <a:solidFill>
                <a:schemeClr val="accent3"/>
              </a:solidFill>
              <a:ln w="9525">
                <a:solidFill>
                  <a:schemeClr val="accent3"/>
                </a:solidFill>
              </a:ln>
              <a:effectLst/>
            </c:spPr>
          </c:marker>
          <c:trendline>
            <c:spPr>
              <a:ln w="22225" cap="rnd">
                <a:solidFill>
                  <a:schemeClr val="tx1"/>
                </a:solidFill>
                <a:prstDash val="sysDot"/>
              </a:ln>
              <a:effectLst/>
            </c:spPr>
            <c:trendlineType val="linear"/>
            <c:dispRSqr val="0"/>
            <c:dispEq val="0"/>
          </c:trendline>
          <c:xVal>
            <c:numRef>
              <c:f>'Performance Standards'!$X$584:$Y$584</c:f>
              <c:numCache>
                <c:formatCode>General</c:formatCode>
                <c:ptCount val="2"/>
                <c:pt idx="0">
                  <c:v>60</c:v>
                </c:pt>
                <c:pt idx="1">
                  <c:v>70</c:v>
                </c:pt>
              </c:numCache>
            </c:numRef>
          </c:xVal>
          <c:yVal>
            <c:numRef>
              <c:f>'Performance Standards'!$X$586:$Y$586</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FA7A-475D-A63F-B00735B9BBEC}"/>
            </c:ext>
          </c:extLst>
        </c:ser>
        <c:dLbls>
          <c:showLegendKey val="0"/>
          <c:showVal val="0"/>
          <c:showCatName val="0"/>
          <c:showSerName val="0"/>
          <c:showPercent val="0"/>
          <c:showBubbleSize val="0"/>
        </c:dLbls>
        <c:axId val="440104928"/>
        <c:axId val="440105488"/>
      </c:scatterChart>
      <c:valAx>
        <c:axId val="44010492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5488"/>
        <c:crosses val="autoZero"/>
        <c:crossBetween val="midCat"/>
      </c:valAx>
      <c:valAx>
        <c:axId val="44010548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492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B, C and E Streams &lt; 3% slope and Percent Riffle &gt;=60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2456070937341359"/>
                  <c:y val="-0.1776675096258496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1CCE-4783-8506-AA46E4409ADE}"/>
            </c:ext>
          </c:extLst>
        </c:ser>
        <c:dLbls>
          <c:showLegendKey val="0"/>
          <c:showVal val="0"/>
          <c:showCatName val="0"/>
          <c:showSerName val="0"/>
          <c:showPercent val="0"/>
          <c:showBubbleSize val="0"/>
        </c:dLbls>
        <c:axId val="440108288"/>
        <c:axId val="440108848"/>
      </c:scatterChart>
      <c:valAx>
        <c:axId val="440108288"/>
        <c:scaling>
          <c:orientation val="minMax"/>
          <c:min val="7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8848"/>
        <c:crosses val="autoZero"/>
        <c:crossBetween val="midCat"/>
      </c:valAx>
      <c:valAx>
        <c:axId val="440108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1082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Streams 3%-10% slope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8.7494478331226158E-2"/>
                  <c:y val="0.1233991355468350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Standards'!$S$619:$V$619</c:f>
              <c:numCache>
                <c:formatCode>General</c:formatCode>
                <c:ptCount val="4"/>
                <c:pt idx="0" formatCode="0">
                  <c:v>33.10161662817552</c:v>
                </c:pt>
                <c:pt idx="2">
                  <c:v>40</c:v>
                </c:pt>
                <c:pt idx="3">
                  <c:v>49</c:v>
                </c:pt>
              </c:numCache>
            </c:numRef>
          </c:xVal>
          <c:yVal>
            <c:numRef>
              <c:f>'Performance Standards'!$S$621:$V$621</c:f>
              <c:numCache>
                <c:formatCode>General</c:formatCode>
                <c:ptCount val="4"/>
                <c:pt idx="0">
                  <c:v>0</c:v>
                </c:pt>
                <c:pt idx="1">
                  <c:v>0.28999999999999998</c:v>
                </c:pt>
                <c:pt idx="2">
                  <c:v>0.3</c:v>
                </c:pt>
                <c:pt idx="3">
                  <c:v>0.69</c:v>
                </c:pt>
              </c:numCache>
            </c:numRef>
          </c:yVal>
          <c:smooth val="0"/>
          <c:extLst xmlns:c16r2="http://schemas.microsoft.com/office/drawing/2015/06/chart">
            <c:ext xmlns:c16="http://schemas.microsoft.com/office/drawing/2014/chart" uri="{C3380CC4-5D6E-409C-BE32-E72D297353CC}">
              <c16:uniqueId val="{00000000-FAAA-4519-8328-5CF476756B3D}"/>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6554214059495811"/>
                  <c:y val="-0.2449546483512599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Standards'!$S$620:$V$620</c:f>
              <c:numCache>
                <c:formatCode>General</c:formatCode>
                <c:ptCount val="4"/>
                <c:pt idx="0" formatCode="0">
                  <c:v>76.981524249422634</c:v>
                </c:pt>
                <c:pt idx="2">
                  <c:v>70</c:v>
                </c:pt>
                <c:pt idx="3">
                  <c:v>61</c:v>
                </c:pt>
              </c:numCache>
            </c:numRef>
          </c:xVal>
          <c:yVal>
            <c:numRef>
              <c:f>'Performance Standards'!$S$621:$V$621</c:f>
              <c:numCache>
                <c:formatCode>General</c:formatCode>
                <c:ptCount val="4"/>
                <c:pt idx="0">
                  <c:v>0</c:v>
                </c:pt>
                <c:pt idx="1">
                  <c:v>0.28999999999999998</c:v>
                </c:pt>
                <c:pt idx="2">
                  <c:v>0.3</c:v>
                </c:pt>
                <c:pt idx="3">
                  <c:v>0.69</c:v>
                </c:pt>
              </c:numCache>
            </c:numRef>
          </c:yVal>
          <c:smooth val="0"/>
          <c:extLst xmlns:c16r2="http://schemas.microsoft.com/office/drawing/2015/06/chart">
            <c:ext xmlns:c16="http://schemas.microsoft.com/office/drawing/2014/chart" uri="{C3380CC4-5D6E-409C-BE32-E72D297353CC}">
              <c16:uniqueId val="{00000001-FAAA-4519-8328-5CF476756B3D}"/>
            </c:ext>
          </c:extLst>
        </c:ser>
        <c:ser>
          <c:idx val="2"/>
          <c:order val="2"/>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tx1"/>
                </a:solidFill>
                <a:prstDash val="sysDot"/>
              </a:ln>
              <a:effectLst/>
            </c:spPr>
            <c:trendlineType val="linear"/>
            <c:dispRSqr val="0"/>
            <c:dispEq val="0"/>
          </c:trendline>
          <c:xVal>
            <c:numRef>
              <c:f>'Performance Standards'!$V$619:$X$619</c:f>
              <c:numCache>
                <c:formatCode>General</c:formatCode>
                <c:ptCount val="3"/>
                <c:pt idx="0">
                  <c:v>49</c:v>
                </c:pt>
                <c:pt idx="2">
                  <c:v>50</c:v>
                </c:pt>
              </c:numCache>
            </c:numRef>
          </c:xVal>
          <c:yVal>
            <c:numRef>
              <c:f>'Performance Standards'!$V$621:$X$621</c:f>
              <c:numCache>
                <c:formatCode>General</c:formatCode>
                <c:ptCount val="3"/>
                <c:pt idx="0">
                  <c:v>0.69</c:v>
                </c:pt>
                <c:pt idx="1">
                  <c:v>0.7</c:v>
                </c:pt>
                <c:pt idx="2">
                  <c:v>1</c:v>
                </c:pt>
              </c:numCache>
            </c:numRef>
          </c:yVal>
          <c:smooth val="0"/>
          <c:extLst xmlns:c16r2="http://schemas.microsoft.com/office/drawing/2015/06/chart">
            <c:ext xmlns:c16="http://schemas.microsoft.com/office/drawing/2014/chart" uri="{C3380CC4-5D6E-409C-BE32-E72D297353CC}">
              <c16:uniqueId val="{00000000-3661-42CA-B4B0-596EA41BFE95}"/>
            </c:ext>
          </c:extLst>
        </c:ser>
        <c:ser>
          <c:idx val="3"/>
          <c:order val="3"/>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tx1"/>
                </a:solidFill>
                <a:prstDash val="sysDot"/>
              </a:ln>
              <a:effectLst/>
            </c:spPr>
            <c:trendlineType val="linear"/>
            <c:dispRSqr val="0"/>
            <c:dispEq val="0"/>
          </c:trendline>
          <c:xVal>
            <c:numRef>
              <c:f>'Performance Standards'!$V$620:$X$620</c:f>
              <c:numCache>
                <c:formatCode>General</c:formatCode>
                <c:ptCount val="3"/>
                <c:pt idx="0">
                  <c:v>61</c:v>
                </c:pt>
                <c:pt idx="2">
                  <c:v>60</c:v>
                </c:pt>
              </c:numCache>
            </c:numRef>
          </c:xVal>
          <c:yVal>
            <c:numRef>
              <c:f>'Performance Standards'!$V$621:$X$621</c:f>
              <c:numCache>
                <c:formatCode>General</c:formatCode>
                <c:ptCount val="3"/>
                <c:pt idx="0">
                  <c:v>0.69</c:v>
                </c:pt>
                <c:pt idx="1">
                  <c:v>0.7</c:v>
                </c:pt>
                <c:pt idx="2">
                  <c:v>1</c:v>
                </c:pt>
              </c:numCache>
            </c:numRef>
          </c:yVal>
          <c:smooth val="0"/>
          <c:extLst xmlns:c16r2="http://schemas.microsoft.com/office/drawing/2015/06/chart">
            <c:ext xmlns:c16="http://schemas.microsoft.com/office/drawing/2014/chart" uri="{C3380CC4-5D6E-409C-BE32-E72D297353CC}">
              <c16:uniqueId val="{00000001-3661-42CA-B4B0-596EA41BFE95}"/>
            </c:ext>
          </c:extLst>
        </c:ser>
        <c:ser>
          <c:idx val="4"/>
          <c:order val="4"/>
          <c:spPr>
            <a:ln w="25400" cap="rnd">
              <a:noFill/>
              <a:round/>
            </a:ln>
            <a:effectLst/>
          </c:spPr>
          <c:marker>
            <c:symbol val="circle"/>
            <c:size val="5"/>
            <c:spPr>
              <a:solidFill>
                <a:schemeClr val="accent5"/>
              </a:solidFill>
              <a:ln w="9525">
                <a:solidFill>
                  <a:schemeClr val="accent5"/>
                </a:solidFill>
              </a:ln>
              <a:effectLst/>
            </c:spPr>
          </c:marker>
          <c:trendline>
            <c:spPr>
              <a:ln w="22225" cap="rnd">
                <a:solidFill>
                  <a:schemeClr val="tx1"/>
                </a:solidFill>
                <a:prstDash val="sysDot"/>
              </a:ln>
              <a:effectLst/>
            </c:spPr>
            <c:trendlineType val="linear"/>
            <c:dispRSqr val="0"/>
            <c:dispEq val="0"/>
          </c:trendline>
          <c:xVal>
            <c:numRef>
              <c:f>'Performance Standards'!$X$619:$Y$619</c:f>
              <c:numCache>
                <c:formatCode>General</c:formatCode>
                <c:ptCount val="2"/>
                <c:pt idx="0">
                  <c:v>50</c:v>
                </c:pt>
                <c:pt idx="1">
                  <c:v>60</c:v>
                </c:pt>
              </c:numCache>
            </c:numRef>
          </c:xVal>
          <c:yVal>
            <c:numRef>
              <c:f>'Performance Standards'!$X$621:$Y$621</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A7A2-4FE8-9BB0-A3EA7C27BDD0}"/>
            </c:ext>
          </c:extLst>
        </c:ser>
        <c:dLbls>
          <c:showLegendKey val="0"/>
          <c:showVal val="0"/>
          <c:showCatName val="0"/>
          <c:showSerName val="0"/>
          <c:showPercent val="0"/>
          <c:showBubbleSize val="0"/>
        </c:dLbls>
        <c:axId val="445140880"/>
        <c:axId val="445141440"/>
      </c:scatterChart>
      <c:valAx>
        <c:axId val="445140880"/>
        <c:scaling>
          <c:orientation val="minMax"/>
          <c:min val="3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1440"/>
        <c:crosses val="autoZero"/>
        <c:crossBetween val="midCat"/>
      </c:valAx>
      <c:valAx>
        <c:axId val="4451414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08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A</a:t>
            </a:r>
            <a:r>
              <a:rPr lang="en-US" baseline="0"/>
              <a:t> and B</a:t>
            </a:r>
            <a:r>
              <a:rPr lang="en-US"/>
              <a:t> Streams and Percent Riffle &gt;70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57622122197586678"/>
                  <c:y val="-7.639743340347382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A234-4278-B36B-2D355F1EA40B}"/>
            </c:ext>
          </c:extLst>
        </c:ser>
        <c:dLbls>
          <c:showLegendKey val="0"/>
          <c:showVal val="0"/>
          <c:showCatName val="0"/>
          <c:showSerName val="0"/>
          <c:showPercent val="0"/>
          <c:showBubbleSize val="0"/>
        </c:dLbls>
        <c:axId val="445144240"/>
        <c:axId val="445144800"/>
      </c:scatterChart>
      <c:valAx>
        <c:axId val="445144240"/>
        <c:scaling>
          <c:orientation val="minMax"/>
          <c:min val="6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4800"/>
        <c:crosses val="autoZero"/>
        <c:crossBetween val="midCat"/>
      </c:valAx>
      <c:valAx>
        <c:axId val="4451448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42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Sinuosity</a:t>
            </a:r>
            <a:r>
              <a:rPr lang="en-US" baseline="0"/>
              <a:t> for Unconfined Alluvial Valleys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Ceiling</c:v>
          </c:tx>
          <c:spPr>
            <a:ln w="25400" cap="rnd">
              <a:solidFill>
                <a:srgbClr val="FF0000"/>
              </a:solidFill>
              <a:round/>
            </a:ln>
            <a:effectLst/>
          </c:spPr>
          <c:marker>
            <c:symbol val="none"/>
          </c:marker>
          <c:xVal>
            <c:numRef>
              <c:f>'Performance Standards'!$X$751:$X$752</c:f>
              <c:numCache>
                <c:formatCode>General</c:formatCode>
                <c:ptCount val="2"/>
                <c:pt idx="0">
                  <c:v>1.2</c:v>
                </c:pt>
                <c:pt idx="1">
                  <c:v>1.4</c:v>
                </c:pt>
              </c:numCache>
            </c:numRef>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0-4D02-4A2D-AE52-B72266B9C1B6}"/>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1382207951497485"/>
                  <c:y val="-9.6960615490202906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Standards'!$S$752:$W$752</c:f>
              <c:numCache>
                <c:formatCode>General</c:formatCode>
                <c:ptCount val="5"/>
                <c:pt idx="2">
                  <c:v>1.5</c:v>
                </c:pt>
                <c:pt idx="3">
                  <c:v>1.41</c:v>
                </c:pt>
              </c:numCache>
            </c:numRef>
          </c:xVal>
          <c:yVal>
            <c:numRef>
              <c:f>'Performance Standards'!$S$753:$W$753</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4D02-4A2D-AE52-B72266B9C1B6}"/>
            </c:ext>
          </c:extLst>
        </c:ser>
        <c:ser>
          <c:idx val="2"/>
          <c:order val="2"/>
          <c:tx>
            <c:v>Floor- Left</c:v>
          </c:tx>
          <c:spPr>
            <a:ln w="25400" cap="rnd">
              <a:solidFill>
                <a:srgbClr val="FF0000"/>
              </a:solidFill>
              <a:round/>
            </a:ln>
            <a:effectLst/>
          </c:spPr>
          <c:marker>
            <c:symbol val="none"/>
          </c:marker>
          <c:xVal>
            <c:numLit>
              <c:formatCode>General</c:formatCode>
              <c:ptCount val="2"/>
              <c:pt idx="0">
                <c:v>1</c:v>
              </c:pt>
              <c:pt idx="1">
                <c:v>1.19</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2-51A5-4CE1-A018-2A70F752C814}"/>
            </c:ext>
          </c:extLst>
        </c:ser>
        <c:ser>
          <c:idx val="3"/>
          <c:order val="3"/>
          <c:tx>
            <c:v>Floor- Right</c:v>
          </c:tx>
          <c:spPr>
            <a:ln w="25400" cap="rnd">
              <a:solidFill>
                <a:srgbClr val="FF0000"/>
              </a:solidFill>
              <a:round/>
            </a:ln>
            <a:effectLst/>
          </c:spPr>
          <c:marker>
            <c:symbol val="none"/>
          </c:marker>
          <c:xVal>
            <c:numLit>
              <c:formatCode>General</c:formatCode>
              <c:ptCount val="2"/>
              <c:pt idx="0">
                <c:v>1.51</c:v>
              </c:pt>
              <c:pt idx="1">
                <c:v>1.6</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3-51A5-4CE1-A018-2A70F752C814}"/>
            </c:ext>
          </c:extLst>
        </c:ser>
        <c:dLbls>
          <c:showLegendKey val="0"/>
          <c:showVal val="0"/>
          <c:showCatName val="0"/>
          <c:showSerName val="0"/>
          <c:showPercent val="0"/>
          <c:showBubbleSize val="0"/>
        </c:dLbls>
        <c:axId val="445148720"/>
        <c:axId val="445149280"/>
      </c:scatterChart>
      <c:valAx>
        <c:axId val="445148720"/>
        <c:scaling>
          <c:orientation val="minMax"/>
          <c:max val="1.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9280"/>
        <c:crosses val="autoZero"/>
        <c:crossBetween val="midCat"/>
      </c:valAx>
      <c:valAx>
        <c:axId val="445149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487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Riparian</a:t>
            </a:r>
            <a:r>
              <a:rPr lang="en-US" baseline="0"/>
              <a:t> Vegetation Stem Density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3241249192675539"/>
                  <c:y val="9.2825934727743975E-2"/>
                </c:manualLayout>
              </c:layout>
              <c:numFmt formatCode="0.000000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Standards'!$S$284:$V$284</c:f>
              <c:numCache>
                <c:formatCode>General</c:formatCode>
                <c:ptCount val="4"/>
                <c:pt idx="0">
                  <c:v>0</c:v>
                </c:pt>
                <c:pt idx="3">
                  <c:v>260</c:v>
                </c:pt>
              </c:numCache>
            </c:numRef>
          </c:xVal>
          <c:yVal>
            <c:numRef>
              <c:f>'Performance Standards'!$S$285:$V$285</c:f>
              <c:numCache>
                <c:formatCode>General</c:formatCode>
                <c:ptCount val="4"/>
                <c:pt idx="0">
                  <c:v>0</c:v>
                </c:pt>
                <c:pt idx="1">
                  <c:v>0.28999999999999998</c:v>
                </c:pt>
                <c:pt idx="2">
                  <c:v>0.3</c:v>
                </c:pt>
                <c:pt idx="3">
                  <c:v>0.5</c:v>
                </c:pt>
              </c:numCache>
            </c:numRef>
          </c:yVal>
          <c:smooth val="0"/>
          <c:extLst xmlns:c16r2="http://schemas.microsoft.com/office/drawing/2015/06/chart">
            <c:ext xmlns:c16="http://schemas.microsoft.com/office/drawing/2014/chart" uri="{C3380CC4-5D6E-409C-BE32-E72D297353CC}">
              <c16:uniqueId val="{00000000-4D1B-4534-82B9-CBA282048D48}"/>
            </c:ext>
          </c:extLst>
        </c:ser>
        <c:ser>
          <c:idx val="1"/>
          <c:order val="1"/>
          <c:spPr>
            <a:ln w="25400" cap="rnd">
              <a:solidFill>
                <a:srgbClr val="FF0000"/>
              </a:solidFill>
              <a:round/>
            </a:ln>
            <a:effectLst/>
          </c:spPr>
          <c:marker>
            <c:symbol val="none"/>
          </c:marker>
          <c:xVal>
            <c:numLit>
              <c:formatCode>General</c:formatCode>
              <c:ptCount val="2"/>
              <c:pt idx="0">
                <c:v>260</c:v>
              </c:pt>
              <c:pt idx="1">
                <c:v>400</c:v>
              </c:pt>
            </c:numLit>
          </c:xVal>
          <c:yVal>
            <c:numLit>
              <c:formatCode>General</c:formatCode>
              <c:ptCount val="2"/>
              <c:pt idx="0">
                <c:v>0.5</c:v>
              </c:pt>
              <c:pt idx="1">
                <c:v>0.5</c:v>
              </c:pt>
            </c:numLit>
          </c:yVal>
          <c:smooth val="0"/>
          <c:extLst xmlns:c16r2="http://schemas.microsoft.com/office/drawing/2015/06/chart">
            <c:ext xmlns:c16="http://schemas.microsoft.com/office/drawing/2014/chart" uri="{C3380CC4-5D6E-409C-BE32-E72D297353CC}">
              <c16:uniqueId val="{00000001-1D91-48B6-902E-6845997B448D}"/>
            </c:ext>
          </c:extLst>
        </c:ser>
        <c:dLbls>
          <c:showLegendKey val="0"/>
          <c:showVal val="0"/>
          <c:showCatName val="0"/>
          <c:showSerName val="0"/>
          <c:showPercent val="0"/>
          <c:showBubbleSize val="0"/>
        </c:dLbls>
        <c:axId val="445152080"/>
        <c:axId val="445152640"/>
      </c:scatterChart>
      <c:valAx>
        <c:axId val="445152080"/>
        <c:scaling>
          <c:orientation val="minMax"/>
          <c:max val="3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2640"/>
        <c:crosses val="autoZero"/>
        <c:crossBetween val="midCat"/>
      </c:valAx>
      <c:valAx>
        <c:axId val="4451526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208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Specific</a:t>
            </a:r>
            <a:r>
              <a:rPr lang="en-US" baseline="0"/>
              <a:t> Conductivity in Piedmont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20507365894190593"/>
                  <c:y val="-0.53446937799477834"/>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Standards'!$AB$44:$AH$44</c:f>
              <c:numCache>
                <c:formatCode>General</c:formatCode>
                <c:ptCount val="7"/>
                <c:pt idx="0" formatCode="0.00">
                  <c:v>342.88461538461536</c:v>
                </c:pt>
                <c:pt idx="2">
                  <c:v>229</c:v>
                </c:pt>
                <c:pt idx="3">
                  <c:v>78</c:v>
                </c:pt>
              </c:numCache>
            </c:numRef>
          </c:xVal>
          <c:yVal>
            <c:numRef>
              <c:f>'Performance Standards'!$AB$45:$AH$45</c:f>
              <c:numCache>
                <c:formatCode>General</c:formatCode>
                <c:ptCount val="7"/>
                <c:pt idx="0">
                  <c:v>0</c:v>
                </c:pt>
                <c:pt idx="1">
                  <c:v>0.2</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EB4D-4A03-B87B-74E416C568DB}"/>
            </c:ext>
          </c:extLst>
        </c:ser>
        <c:ser>
          <c:idx val="1"/>
          <c:order val="1"/>
          <c:spPr>
            <a:ln w="25400" cap="rnd">
              <a:solidFill>
                <a:srgbClr val="FF0000"/>
              </a:solidFill>
              <a:round/>
            </a:ln>
            <a:effectLst/>
          </c:spPr>
          <c:marker>
            <c:symbol val="none"/>
          </c:marker>
          <c:xVal>
            <c:numLit>
              <c:formatCode>General</c:formatCode>
              <c:ptCount val="2"/>
              <c:pt idx="0">
                <c:v>0</c:v>
              </c:pt>
              <c:pt idx="1">
                <c:v>77</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1-1F2A-4CB2-BB5E-129C5F4A3875}"/>
            </c:ext>
          </c:extLst>
        </c:ser>
        <c:dLbls>
          <c:showLegendKey val="0"/>
          <c:showVal val="0"/>
          <c:showCatName val="0"/>
          <c:showSerName val="0"/>
          <c:showPercent val="0"/>
          <c:showBubbleSize val="0"/>
        </c:dLbls>
        <c:axId val="445155440"/>
        <c:axId val="445156000"/>
      </c:scatterChart>
      <c:valAx>
        <c:axId val="44515544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6000"/>
        <c:crosses val="autoZero"/>
        <c:crossBetween val="midCat"/>
      </c:valAx>
      <c:valAx>
        <c:axId val="4451560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54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a:t>
            </a:r>
            <a:r>
              <a:rPr lang="en-US" baseline="0"/>
              <a:t> for C and E Streams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3604849594564847"/>
                  <c:y val="0.1624766143983512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Standards'!$K$44:$O$44</c:f>
              <c:numCache>
                <c:formatCode>General</c:formatCode>
                <c:ptCount val="5"/>
                <c:pt idx="2">
                  <c:v>2</c:v>
                </c:pt>
                <c:pt idx="4">
                  <c:v>2.4</c:v>
                </c:pt>
              </c:numCache>
            </c:numRef>
          </c:xVal>
          <c:yVal>
            <c:numRef>
              <c:f>'Performance Standards'!$K$45:$O$45</c:f>
              <c:numCache>
                <c:formatCode>General</c:formatCode>
                <c:ptCount val="5"/>
                <c:pt idx="0">
                  <c:v>0</c:v>
                </c:pt>
                <c:pt idx="1">
                  <c:v>0.28999999999999998</c:v>
                </c:pt>
                <c:pt idx="2">
                  <c:v>0.3</c:v>
                </c:pt>
                <c:pt idx="3">
                  <c:v>0.6</c:v>
                </c:pt>
                <c:pt idx="4">
                  <c:v>0.7</c:v>
                </c:pt>
              </c:numCache>
            </c:numRef>
          </c:yVal>
          <c:smooth val="0"/>
          <c:extLst xmlns:c16r2="http://schemas.microsoft.com/office/drawing/2015/06/chart">
            <c:ext xmlns:c16="http://schemas.microsoft.com/office/drawing/2014/chart" uri="{C3380CC4-5D6E-409C-BE32-E72D297353CC}">
              <c16:uniqueId val="{00000000-1EEA-4BDA-8E2E-1D9F09529777}"/>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1.8817965508072475E-3"/>
                  <c:y val="0.122405795921577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Standards'!$O$44:$P$44</c:f>
              <c:numCache>
                <c:formatCode>General</c:formatCode>
                <c:ptCount val="2"/>
                <c:pt idx="0">
                  <c:v>2.4</c:v>
                </c:pt>
                <c:pt idx="1">
                  <c:v>5</c:v>
                </c:pt>
              </c:numCache>
            </c:numRef>
          </c:xVal>
          <c:yVal>
            <c:numRef>
              <c:f>'Performance Standards'!$O$45:$P$45</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FBB7-4035-A17D-E0D766088381}"/>
            </c:ext>
          </c:extLst>
        </c:ser>
        <c:ser>
          <c:idx val="2"/>
          <c:order val="2"/>
          <c:spPr>
            <a:ln w="25400" cap="rnd">
              <a:solidFill>
                <a:srgbClr val="FF0000"/>
              </a:solidFill>
              <a:round/>
            </a:ln>
            <a:effectLst/>
          </c:spPr>
          <c:marker>
            <c:symbol val="none"/>
          </c:marker>
          <c:xVal>
            <c:numLit>
              <c:formatCode>General</c:formatCode>
              <c:ptCount val="2"/>
              <c:pt idx="0">
                <c:v>1.9</c:v>
              </c:pt>
              <c:pt idx="1">
                <c:v>0</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2-51C7-4277-99C3-8671EE365B73}"/>
            </c:ext>
          </c:extLst>
        </c:ser>
        <c:dLbls>
          <c:showLegendKey val="0"/>
          <c:showVal val="0"/>
          <c:showCatName val="0"/>
          <c:showSerName val="0"/>
          <c:showPercent val="0"/>
          <c:showBubbleSize val="0"/>
        </c:dLbls>
        <c:axId val="256587264"/>
        <c:axId val="256587824"/>
      </c:scatterChart>
      <c:valAx>
        <c:axId val="256587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587824"/>
        <c:crosses val="autoZero"/>
        <c:crossBetween val="midCat"/>
      </c:valAx>
      <c:valAx>
        <c:axId val="2565878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65872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Specific</a:t>
            </a:r>
            <a:r>
              <a:rPr lang="en-US" baseline="0"/>
              <a:t> Conductivity in Mountain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2381180807244597"/>
                  <c:y val="-0.1199316575959934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Standards'!$AB$79:$AH$79</c:f>
              <c:numCache>
                <c:formatCode>General</c:formatCode>
                <c:ptCount val="7"/>
                <c:pt idx="0" formatCode="0.0000">
                  <c:v>85.230769230769226</c:v>
                </c:pt>
                <c:pt idx="2">
                  <c:v>66</c:v>
                </c:pt>
                <c:pt idx="3">
                  <c:v>41</c:v>
                </c:pt>
              </c:numCache>
            </c:numRef>
          </c:xVal>
          <c:yVal>
            <c:numRef>
              <c:f>'Performance Standards'!$AB$80:$AH$80</c:f>
              <c:numCache>
                <c:formatCode>General</c:formatCode>
                <c:ptCount val="7"/>
                <c:pt idx="0">
                  <c:v>0</c:v>
                </c:pt>
                <c:pt idx="1">
                  <c:v>0.2</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8035-490C-99D4-675B83D3304A}"/>
            </c:ext>
          </c:extLst>
        </c:ser>
        <c:ser>
          <c:idx val="1"/>
          <c:order val="1"/>
          <c:spPr>
            <a:ln w="25400" cap="rnd">
              <a:solidFill>
                <a:srgbClr val="FF0000"/>
              </a:solidFill>
              <a:round/>
            </a:ln>
            <a:effectLst/>
          </c:spPr>
          <c:marker>
            <c:symbol val="none"/>
          </c:marker>
          <c:xVal>
            <c:numLit>
              <c:formatCode>General</c:formatCode>
              <c:ptCount val="2"/>
              <c:pt idx="0">
                <c:v>0</c:v>
              </c:pt>
              <c:pt idx="1">
                <c:v>40</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1-A2E0-41ED-B75F-1DC60F16EF4C}"/>
            </c:ext>
          </c:extLst>
        </c:ser>
        <c:dLbls>
          <c:showLegendKey val="0"/>
          <c:showVal val="0"/>
          <c:showCatName val="0"/>
          <c:showSerName val="0"/>
          <c:showPercent val="0"/>
          <c:showBubbleSize val="0"/>
        </c:dLbls>
        <c:axId val="445159360"/>
        <c:axId val="445159920"/>
      </c:scatterChart>
      <c:valAx>
        <c:axId val="445159360"/>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9920"/>
        <c:crosses val="autoZero"/>
        <c:crossBetween val="midCat"/>
      </c:valAx>
      <c:valAx>
        <c:axId val="4451599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59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Qual</a:t>
            </a:r>
            <a:r>
              <a:rPr lang="en-US" baseline="0"/>
              <a:t> 4 - Biotic Index Mountain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0811109708213745"/>
                  <c:y val="-0.17472287005989862"/>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Standards'!$AL$10:$AP$10</c:f>
              <c:numCache>
                <c:formatCode>General</c:formatCode>
                <c:ptCount val="5"/>
                <c:pt idx="1">
                  <c:v>5.62</c:v>
                </c:pt>
                <c:pt idx="3">
                  <c:v>4.7300000000000004</c:v>
                </c:pt>
                <c:pt idx="4">
                  <c:v>3.29</c:v>
                </c:pt>
              </c:numCache>
            </c:numRef>
          </c:xVal>
          <c:yVal>
            <c:numRef>
              <c:f>'Performance Standards'!$AL$11:$AP$11</c:f>
              <c:numCache>
                <c:formatCode>General</c:formatCode>
                <c:ptCount val="5"/>
                <c:pt idx="0">
                  <c:v>0.28999999999999998</c:v>
                </c:pt>
                <c:pt idx="1">
                  <c:v>0.3</c:v>
                </c:pt>
                <c:pt idx="2">
                  <c:v>0.69</c:v>
                </c:pt>
                <c:pt idx="3">
                  <c:v>0.7</c:v>
                </c:pt>
                <c:pt idx="4">
                  <c:v>1</c:v>
                </c:pt>
              </c:numCache>
            </c:numRef>
          </c:yVal>
          <c:smooth val="0"/>
          <c:extLst xmlns:c16r2="http://schemas.microsoft.com/office/drawing/2015/06/chart">
            <c:ext xmlns:c16="http://schemas.microsoft.com/office/drawing/2014/chart" uri="{C3380CC4-5D6E-409C-BE32-E72D297353CC}">
              <c16:uniqueId val="{00000000-3C2B-4369-B12E-CEBB85132D7A}"/>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0864046884331964E-2"/>
                  <c:y val="-7.8813731805290888E-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Standards'!$AK$10:$AM$10</c:f>
              <c:numCache>
                <c:formatCode>General</c:formatCode>
                <c:ptCount val="3"/>
                <c:pt idx="0">
                  <c:v>6.53</c:v>
                </c:pt>
                <c:pt idx="2">
                  <c:v>5.62</c:v>
                </c:pt>
              </c:numCache>
            </c:numRef>
          </c:xVal>
          <c:yVal>
            <c:numRef>
              <c:f>'Performance Standards'!$AK$11:$AM$11</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0-25F3-4C44-8C4A-1CBF24513F48}"/>
            </c:ext>
          </c:extLst>
        </c:ser>
        <c:dLbls>
          <c:showLegendKey val="0"/>
          <c:showVal val="0"/>
          <c:showCatName val="0"/>
          <c:showSerName val="0"/>
          <c:showPercent val="0"/>
          <c:showBubbleSize val="0"/>
        </c:dLbls>
        <c:axId val="445162720"/>
        <c:axId val="445163280"/>
      </c:scatterChart>
      <c:valAx>
        <c:axId val="445162720"/>
        <c:scaling>
          <c:orientation val="minMax"/>
          <c:min val="2"/>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63280"/>
        <c:crosses val="autoZero"/>
        <c:crossBetween val="midCat"/>
      </c:valAx>
      <c:valAx>
        <c:axId val="4451632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627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Qual</a:t>
            </a:r>
            <a:r>
              <a:rPr lang="en-US" baseline="0"/>
              <a:t> 4 - Biotic Index Piedmont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9.7213539212789399E-2"/>
                  <c:y val="-0.2616940698504641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Standards'!$AL$44:$AP$44</c:f>
              <c:numCache>
                <c:formatCode>General</c:formatCode>
                <c:ptCount val="5"/>
                <c:pt idx="1">
                  <c:v>5.85</c:v>
                </c:pt>
                <c:pt idx="3">
                  <c:v>5.18</c:v>
                </c:pt>
                <c:pt idx="4">
                  <c:v>4.3</c:v>
                </c:pt>
              </c:numCache>
            </c:numRef>
          </c:xVal>
          <c:yVal>
            <c:numRef>
              <c:f>'Performance Standards'!$AL$45:$AP$45</c:f>
              <c:numCache>
                <c:formatCode>General</c:formatCode>
                <c:ptCount val="5"/>
                <c:pt idx="0">
                  <c:v>0.28999999999999998</c:v>
                </c:pt>
                <c:pt idx="1">
                  <c:v>0.3</c:v>
                </c:pt>
                <c:pt idx="2">
                  <c:v>0.69</c:v>
                </c:pt>
                <c:pt idx="3">
                  <c:v>0.7</c:v>
                </c:pt>
                <c:pt idx="4">
                  <c:v>1</c:v>
                </c:pt>
              </c:numCache>
            </c:numRef>
          </c:yVal>
          <c:smooth val="0"/>
          <c:extLst xmlns:c16r2="http://schemas.microsoft.com/office/drawing/2015/06/chart">
            <c:ext xmlns:c16="http://schemas.microsoft.com/office/drawing/2014/chart" uri="{C3380CC4-5D6E-409C-BE32-E72D297353CC}">
              <c16:uniqueId val="{00000000-8E5C-438D-8CCF-3A53D164C7AA}"/>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1794647666709547E-2"/>
                  <c:y val="-5.704146177130167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Standards'!$AK$44:$AM$44</c:f>
              <c:numCache>
                <c:formatCode>General</c:formatCode>
                <c:ptCount val="3"/>
                <c:pt idx="0">
                  <c:v>6.92</c:v>
                </c:pt>
                <c:pt idx="2">
                  <c:v>5.85</c:v>
                </c:pt>
              </c:numCache>
            </c:numRef>
          </c:xVal>
          <c:yVal>
            <c:numRef>
              <c:f>'Performance Standards'!$AK$45:$AM$45</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0-CCFD-4536-B385-192B6754E2E9}"/>
            </c:ext>
          </c:extLst>
        </c:ser>
        <c:dLbls>
          <c:showLegendKey val="0"/>
          <c:showVal val="0"/>
          <c:showCatName val="0"/>
          <c:showSerName val="0"/>
          <c:showPercent val="0"/>
          <c:showBubbleSize val="0"/>
        </c:dLbls>
        <c:axId val="445165520"/>
        <c:axId val="445166080"/>
      </c:scatterChart>
      <c:valAx>
        <c:axId val="445165520"/>
        <c:scaling>
          <c:orientation val="minMax"/>
          <c:min val="3"/>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66080"/>
        <c:crosses val="autoZero"/>
        <c:crossBetween val="midCat"/>
      </c:valAx>
      <c:valAx>
        <c:axId val="44516608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655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Leaf Litter Processing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Rising Limb</c:v>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5.9512617860609011E-2"/>
                  <c:y val="8.438424580701312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Standards'!$AD$147:$AF$147</c:f>
              <c:numCache>
                <c:formatCode>General</c:formatCode>
                <c:ptCount val="3"/>
                <c:pt idx="0">
                  <c:v>0.5</c:v>
                </c:pt>
                <c:pt idx="2">
                  <c:v>0.75</c:v>
                </c:pt>
              </c:numCache>
            </c:numRef>
          </c:xVal>
          <c:yVal>
            <c:numRef>
              <c:f>'Performance Standards'!$AD$149:$AF$149</c:f>
              <c:numCache>
                <c:formatCode>General</c:formatCode>
                <c:ptCount val="3"/>
                <c:pt idx="0">
                  <c:v>0.3</c:v>
                </c:pt>
                <c:pt idx="1">
                  <c:v>0.69</c:v>
                </c:pt>
                <c:pt idx="2">
                  <c:v>0.7</c:v>
                </c:pt>
              </c:numCache>
            </c:numRef>
          </c:yVal>
          <c:smooth val="0"/>
          <c:extLst xmlns:c16r2="http://schemas.microsoft.com/office/drawing/2015/06/chart">
            <c:ext xmlns:c16="http://schemas.microsoft.com/office/drawing/2014/chart" uri="{C3380CC4-5D6E-409C-BE32-E72D297353CC}">
              <c16:uniqueId val="{00000000-CB0C-4C52-8BEE-D1EFCE617BFC}"/>
            </c:ext>
          </c:extLst>
        </c:ser>
        <c:ser>
          <c:idx val="1"/>
          <c:order val="1"/>
          <c:tx>
            <c:v>Falling Limb</c:v>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114902238584102"/>
                  <c:y val="-0.2173184563559315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Standards'!$AB$148:$AE$148</c:f>
              <c:numCache>
                <c:formatCode>General</c:formatCode>
                <c:ptCount val="4"/>
                <c:pt idx="2">
                  <c:v>2</c:v>
                </c:pt>
                <c:pt idx="3">
                  <c:v>1.34</c:v>
                </c:pt>
              </c:numCache>
            </c:numRef>
          </c:xVal>
          <c:yVal>
            <c:numRef>
              <c:f>'Performance Standards'!$AB$149:$AE$149</c:f>
              <c:numCache>
                <c:formatCode>General</c:formatCode>
                <c:ptCount val="4"/>
                <c:pt idx="0">
                  <c:v>0</c:v>
                </c:pt>
                <c:pt idx="1">
                  <c:v>0.28999999999999998</c:v>
                </c:pt>
                <c:pt idx="2">
                  <c:v>0.3</c:v>
                </c:pt>
                <c:pt idx="3">
                  <c:v>0.69</c:v>
                </c:pt>
              </c:numCache>
            </c:numRef>
          </c:yVal>
          <c:smooth val="0"/>
          <c:extLst xmlns:c16r2="http://schemas.microsoft.com/office/drawing/2015/06/chart">
            <c:ext xmlns:c16="http://schemas.microsoft.com/office/drawing/2014/chart" uri="{C3380CC4-5D6E-409C-BE32-E72D297353CC}">
              <c16:uniqueId val="{00000001-CB0C-4C52-8BEE-D1EFCE617BFC}"/>
            </c:ext>
          </c:extLst>
        </c:ser>
        <c:ser>
          <c:idx val="2"/>
          <c:order val="2"/>
          <c:tx>
            <c:v>Functioning - Rising Limb</c:v>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7.3779187974950672E-2"/>
                  <c:y val="3.3367442523279243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Standards'!$AF$147:$AH$147</c:f>
              <c:numCache>
                <c:formatCode>General</c:formatCode>
                <c:ptCount val="3"/>
                <c:pt idx="0">
                  <c:v>0.75</c:v>
                </c:pt>
                <c:pt idx="1">
                  <c:v>1.33</c:v>
                </c:pt>
              </c:numCache>
            </c:numRef>
          </c:xVal>
          <c:yVal>
            <c:numRef>
              <c:f>'Performance Standards'!$AF$149:$AH$149</c:f>
              <c:numCache>
                <c:formatCode>General</c:formatCode>
                <c:ptCount val="3"/>
                <c:pt idx="0">
                  <c:v>0.7</c:v>
                </c:pt>
                <c:pt idx="1">
                  <c:v>1</c:v>
                </c:pt>
              </c:numCache>
            </c:numRef>
          </c:yVal>
          <c:smooth val="0"/>
          <c:extLst xmlns:c16r2="http://schemas.microsoft.com/office/drawing/2015/06/chart">
            <c:ext xmlns:c16="http://schemas.microsoft.com/office/drawing/2014/chart" uri="{C3380CC4-5D6E-409C-BE32-E72D297353CC}">
              <c16:uniqueId val="{00000000-601D-4F37-9E88-F4AF3EBB1E89}"/>
            </c:ext>
          </c:extLst>
        </c:ser>
        <c:ser>
          <c:idx val="4"/>
          <c:order val="3"/>
          <c:tx>
            <c:v>Floor- Left</c:v>
          </c:tx>
          <c:spPr>
            <a:ln w="25400" cap="rnd">
              <a:solidFill>
                <a:srgbClr val="FF0000"/>
              </a:solidFill>
              <a:round/>
            </a:ln>
            <a:effectLst/>
          </c:spPr>
          <c:marker>
            <c:symbol val="none"/>
          </c:marker>
          <c:xVal>
            <c:numLit>
              <c:formatCode>General</c:formatCode>
              <c:ptCount val="2"/>
              <c:pt idx="0">
                <c:v>0</c:v>
              </c:pt>
              <c:pt idx="1">
                <c:v>0.4</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4-5F0F-4B21-B4CC-942B039E5D3E}"/>
            </c:ext>
          </c:extLst>
        </c:ser>
        <c:ser>
          <c:idx val="5"/>
          <c:order val="4"/>
          <c:tx>
            <c:v>Floor- Right</c:v>
          </c:tx>
          <c:spPr>
            <a:ln w="25400" cap="rnd">
              <a:solidFill>
                <a:srgbClr val="FF0000"/>
              </a:solidFill>
              <a:round/>
            </a:ln>
            <a:effectLst/>
          </c:spPr>
          <c:marker>
            <c:symbol val="none"/>
          </c:marker>
          <c:xVal>
            <c:numLit>
              <c:formatCode>General</c:formatCode>
              <c:ptCount val="2"/>
              <c:pt idx="0">
                <c:v>2.1</c:v>
              </c:pt>
              <c:pt idx="1">
                <c:v>3</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5-5F0F-4B21-B4CC-942B039E5D3E}"/>
            </c:ext>
          </c:extLst>
        </c:ser>
        <c:dLbls>
          <c:showLegendKey val="0"/>
          <c:showVal val="0"/>
          <c:showCatName val="0"/>
          <c:showSerName val="0"/>
          <c:showPercent val="0"/>
          <c:showBubbleSize val="0"/>
        </c:dLbls>
        <c:axId val="445170560"/>
        <c:axId val="445171120"/>
      </c:scatterChart>
      <c:valAx>
        <c:axId val="445170560"/>
        <c:scaling>
          <c:orientation val="minMax"/>
          <c:max val="2.5"/>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71120"/>
        <c:crosses val="autoZero"/>
        <c:crossBetween val="midCat"/>
      </c:valAx>
      <c:valAx>
        <c:axId val="4451711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51705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NCIBI Score - French Broad, Hiwassee, Little Tennessee, New, and Watauga River Basins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30086294272539299"/>
                  <c:y val="0.14790089030801204"/>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Standards'!$AK$181:$AP$181</c:f>
              <c:numCache>
                <c:formatCode>General</c:formatCode>
                <c:ptCount val="6"/>
                <c:pt idx="0" formatCode="0.000">
                  <c:v>21.153846153846157</c:v>
                </c:pt>
                <c:pt idx="2">
                  <c:v>33</c:v>
                </c:pt>
                <c:pt idx="4">
                  <c:v>48</c:v>
                </c:pt>
                <c:pt idx="5">
                  <c:v>60</c:v>
                </c:pt>
              </c:numCache>
            </c:numRef>
          </c:xVal>
          <c:yVal>
            <c:numRef>
              <c:f>'Performance Standards'!$AK$182:$AP$182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06EC-42A6-BA8B-0158167C91F3}"/>
            </c:ext>
          </c:extLst>
        </c:ser>
        <c:dLbls>
          <c:showLegendKey val="0"/>
          <c:showVal val="0"/>
          <c:showCatName val="0"/>
          <c:showSerName val="0"/>
          <c:showPercent val="0"/>
          <c:showBubbleSize val="0"/>
        </c:dLbls>
        <c:axId val="447410768"/>
        <c:axId val="447411328"/>
      </c:scatterChart>
      <c:valAx>
        <c:axId val="4474107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1328"/>
        <c:crosses val="autoZero"/>
        <c:crossBetween val="midCat"/>
      </c:valAx>
      <c:valAx>
        <c:axId val="4474113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07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NCIBI Score - Broad, Catawba, Savannah, and Yadkin River Basins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3053787317239705"/>
                  <c:y val="0.13406360424028269"/>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Standards'!$AK$215:$AP$215</c:f>
              <c:numCache>
                <c:formatCode>General</c:formatCode>
                <c:ptCount val="6"/>
                <c:pt idx="0">
                  <c:v>26.6</c:v>
                </c:pt>
                <c:pt idx="2">
                  <c:v>35</c:v>
                </c:pt>
                <c:pt idx="4">
                  <c:v>48</c:v>
                </c:pt>
                <c:pt idx="5">
                  <c:v>60</c:v>
                </c:pt>
              </c:numCache>
            </c:numRef>
          </c:xVal>
          <c:yVal>
            <c:numRef>
              <c:f>'Performance Standards'!$AK$216:$AP$216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0DF5-4371-9059-C9B850753AF2}"/>
            </c:ext>
          </c:extLst>
        </c:ser>
        <c:dLbls>
          <c:showLegendKey val="0"/>
          <c:showVal val="0"/>
          <c:showCatName val="0"/>
          <c:showSerName val="0"/>
          <c:showPercent val="0"/>
          <c:showBubbleSize val="0"/>
        </c:dLbls>
        <c:axId val="447413568"/>
        <c:axId val="447414128"/>
      </c:scatterChart>
      <c:valAx>
        <c:axId val="4474135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4128"/>
        <c:crosses val="autoZero"/>
        <c:crossBetween val="midCat"/>
      </c:valAx>
      <c:valAx>
        <c:axId val="4474141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35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NCIBI Score - Cape Fear, Neuse, Roanoke, and Tar-Pamlico River Basins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8744235010551086"/>
                  <c:y val="0.15994467496542186"/>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Standards'!$AK$249:$AP$249</c:f>
              <c:numCache>
                <c:formatCode>General</c:formatCode>
                <c:ptCount val="6"/>
                <c:pt idx="0">
                  <c:v>25.1</c:v>
                </c:pt>
                <c:pt idx="2">
                  <c:v>33</c:v>
                </c:pt>
                <c:pt idx="4">
                  <c:v>46</c:v>
                </c:pt>
                <c:pt idx="5">
                  <c:v>60</c:v>
                </c:pt>
              </c:numCache>
            </c:numRef>
          </c:xVal>
          <c:yVal>
            <c:numRef>
              <c:f>'Performance Standards'!$AK$250:$AP$250</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05E4-4BB8-B81D-475CA30A71B8}"/>
            </c:ext>
          </c:extLst>
        </c:ser>
        <c:dLbls>
          <c:showLegendKey val="0"/>
          <c:showVal val="0"/>
          <c:showCatName val="0"/>
          <c:showSerName val="0"/>
          <c:showPercent val="0"/>
          <c:showBubbleSize val="0"/>
        </c:dLbls>
        <c:axId val="447416368"/>
        <c:axId val="447416928"/>
      </c:scatterChart>
      <c:valAx>
        <c:axId val="4474163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6928"/>
        <c:crosses val="autoZero"/>
        <c:crossBetween val="midCat"/>
      </c:valAx>
      <c:valAx>
        <c:axId val="4474169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63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Erosion Rate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1.6762136842945398E-2"/>
                  <c:y val="-0.64135137772467976"/>
                </c:manualLayout>
              </c:layout>
              <c:numFmt formatCode="#,##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Standards'!$S$79:$X$79</c:f>
              <c:numCache>
                <c:formatCode>0.00</c:formatCode>
                <c:ptCount val="6"/>
                <c:pt idx="0" formatCode="General">
                  <c:v>0.71</c:v>
                </c:pt>
                <c:pt idx="1">
                  <c:v>0.41170000000000001</c:v>
                </c:pt>
                <c:pt idx="2" formatCode="General">
                  <c:v>0.4</c:v>
                </c:pt>
                <c:pt idx="4" formatCode="General">
                  <c:v>0.19</c:v>
                </c:pt>
                <c:pt idx="5" formatCode="General">
                  <c:v>0.1</c:v>
                </c:pt>
              </c:numCache>
            </c:numRef>
          </c:xVal>
          <c:yVal>
            <c:numRef>
              <c:f>'Performance Standards'!$S$80:$X$80</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8D73-44F2-AF23-B2C97665876A}"/>
            </c:ext>
          </c:extLst>
        </c:ser>
        <c:dLbls>
          <c:showLegendKey val="0"/>
          <c:showVal val="0"/>
          <c:showCatName val="0"/>
          <c:showSerName val="0"/>
          <c:showPercent val="0"/>
          <c:showBubbleSize val="0"/>
        </c:dLbls>
        <c:axId val="447419168"/>
        <c:axId val="447419728"/>
      </c:scatterChart>
      <c:valAx>
        <c:axId val="44741916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9728"/>
        <c:crosses val="autoZero"/>
        <c:crossBetween val="midCat"/>
      </c:valAx>
      <c:valAx>
        <c:axId val="44741972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191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Canopy Coverage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0478156033563941"/>
                  <c:y val="2.745436276819932E-2"/>
                </c:manualLayout>
              </c:layout>
              <c:numFmt formatCode="0.00000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Standards'!$S$149:$X$149</c:f>
              <c:numCache>
                <c:formatCode>General</c:formatCode>
                <c:ptCount val="6"/>
                <c:pt idx="0">
                  <c:v>0</c:v>
                </c:pt>
                <c:pt idx="2">
                  <c:v>25</c:v>
                </c:pt>
                <c:pt idx="4">
                  <c:v>61</c:v>
                </c:pt>
                <c:pt idx="5">
                  <c:v>90.54</c:v>
                </c:pt>
              </c:numCache>
            </c:numRef>
          </c:xVal>
          <c:yVal>
            <c:numRef>
              <c:f>'Performance Standards'!$S$150:$X$150</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4911-4DA5-AA4A-FD42E07D2D46}"/>
            </c:ext>
          </c:extLst>
        </c:ser>
        <c:dLbls>
          <c:showLegendKey val="0"/>
          <c:showVal val="0"/>
          <c:showCatName val="0"/>
          <c:showSerName val="0"/>
          <c:showPercent val="0"/>
          <c:showBubbleSize val="0"/>
        </c:dLbls>
        <c:axId val="447421968"/>
        <c:axId val="447422528"/>
      </c:scatterChart>
      <c:valAx>
        <c:axId val="4474219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2528"/>
        <c:crosses val="autoZero"/>
        <c:crossBetween val="midCat"/>
      </c:valAx>
      <c:valAx>
        <c:axId val="44742252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19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Summer Daily Maximum  (°F)</a:t>
            </a:r>
          </a:p>
        </c:rich>
      </c:tx>
      <c:overlay val="0"/>
      <c:spPr>
        <a:solidFill>
          <a:sysClr val="window" lastClr="FFFFFF"/>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Standards'!$AA$10</c:f>
              <c:strCache>
                <c:ptCount val="1"/>
                <c:pt idx="0">
                  <c:v>Coldwater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8.4345619239848499E-2"/>
                  <c:y val="-0.18149330145460765"/>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Standards'!$AB$10:$AG$10</c:f>
              <c:numCache>
                <c:formatCode>General</c:formatCode>
                <c:ptCount val="6"/>
                <c:pt idx="0">
                  <c:v>77</c:v>
                </c:pt>
                <c:pt idx="4">
                  <c:v>64</c:v>
                </c:pt>
                <c:pt idx="5">
                  <c:v>58</c:v>
                </c:pt>
              </c:numCache>
            </c:numRef>
          </c:xVal>
          <c:yVal>
            <c:numRef>
              <c:f>'Performance Standards'!$AB$12:$AG$12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EBF2-4A9E-821D-65699199DC52}"/>
            </c:ext>
          </c:extLst>
        </c:ser>
        <c:ser>
          <c:idx val="1"/>
          <c:order val="1"/>
          <c:tx>
            <c:strRef>
              <c:f>'Performance Standards'!$AA$11</c:f>
              <c:strCache>
                <c:ptCount val="1"/>
                <c:pt idx="0">
                  <c:v>Coolwater</c:v>
                </c:pt>
              </c:strCache>
            </c:strRef>
          </c:tx>
          <c:spPr>
            <a:ln w="25400" cap="rnd">
              <a:noFill/>
              <a:round/>
            </a:ln>
            <a:effectLst/>
          </c:spPr>
          <c:marker>
            <c:symbol val="circle"/>
            <c:size val="5"/>
            <c:spPr>
              <a:solidFill>
                <a:schemeClr val="accent2"/>
              </a:solidFill>
              <a:ln w="9525">
                <a:solidFill>
                  <a:schemeClr val="accent2"/>
                </a:solidFill>
              </a:ln>
              <a:effectLst/>
            </c:spPr>
          </c:marker>
          <c:dPt>
            <c:idx val="5"/>
            <c:marker>
              <c:symbol val="circle"/>
              <c:size val="5"/>
              <c:spPr>
                <a:solidFill>
                  <a:schemeClr val="accent2"/>
                </a:solidFill>
                <a:ln w="9525">
                  <a:solidFill>
                    <a:schemeClr val="accent2"/>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2-F930-47BC-A39B-ADE916129097}"/>
              </c:ext>
            </c:extLst>
          </c:dPt>
          <c:trendline>
            <c:spPr>
              <a:ln w="19050" cap="rnd">
                <a:solidFill>
                  <a:schemeClr val="accent2"/>
                </a:solidFill>
                <a:prstDash val="sysDot"/>
              </a:ln>
              <a:effectLst/>
            </c:spPr>
            <c:trendlineType val="linear"/>
            <c:dispRSqr val="0"/>
            <c:dispEq val="1"/>
            <c:trendlineLbl>
              <c:layout>
                <c:manualLayout>
                  <c:x val="-3.7485572433633235E-2"/>
                  <c:y val="-0.6851837380011822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Standards'!$AB$11:$AG$11</c:f>
              <c:numCache>
                <c:formatCode>General</c:formatCode>
                <c:ptCount val="6"/>
                <c:pt idx="0">
                  <c:v>97</c:v>
                </c:pt>
                <c:pt idx="5">
                  <c:v>67</c:v>
                </c:pt>
              </c:numCache>
            </c:numRef>
          </c:xVal>
          <c:yVal>
            <c:numRef>
              <c:f>'Performance Standards'!$AB$12:$AG$12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8CCC-404D-9487-309E859A52C5}"/>
            </c:ext>
          </c:extLst>
        </c:ser>
        <c:dLbls>
          <c:showLegendKey val="0"/>
          <c:showVal val="0"/>
          <c:showCatName val="0"/>
          <c:showSerName val="0"/>
          <c:showPercent val="0"/>
          <c:showBubbleSize val="0"/>
        </c:dLbls>
        <c:axId val="447425328"/>
        <c:axId val="447425888"/>
      </c:scatterChart>
      <c:valAx>
        <c:axId val="447425328"/>
        <c:scaling>
          <c:orientation val="minMax"/>
          <c:min val="5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5888"/>
        <c:crosses val="autoZero"/>
        <c:crossBetween val="midCat"/>
      </c:valAx>
      <c:valAx>
        <c:axId val="4474258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532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 for A, B and Bc Streams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4.1485129618198141E-2"/>
                  <c:y val="0.1553228735419383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Standards'!$K$79:$O$79</c:f>
              <c:numCache>
                <c:formatCode>General</c:formatCode>
                <c:ptCount val="5"/>
                <c:pt idx="2">
                  <c:v>1.2</c:v>
                </c:pt>
                <c:pt idx="4">
                  <c:v>1.4</c:v>
                </c:pt>
              </c:numCache>
            </c:numRef>
          </c:xVal>
          <c:yVal>
            <c:numRef>
              <c:f>'Performance Standards'!$K$80:$O$80</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B511-473E-8345-F7FDAF1C4433}"/>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7890770611723942E-2"/>
                  <c:y val="2.2653159754645828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Standards'!$O$79:$P$79</c:f>
              <c:numCache>
                <c:formatCode>General</c:formatCode>
                <c:ptCount val="2"/>
                <c:pt idx="0">
                  <c:v>1.4</c:v>
                </c:pt>
                <c:pt idx="1">
                  <c:v>2.2000000000000002</c:v>
                </c:pt>
              </c:numCache>
            </c:numRef>
          </c:xVal>
          <c:yVal>
            <c:numRef>
              <c:f>'Performance Standards'!$O$80:$P$80</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EF40-4FA8-8C0D-00C8C3EA5E04}"/>
            </c:ext>
          </c:extLst>
        </c:ser>
        <c:ser>
          <c:idx val="2"/>
          <c:order val="2"/>
          <c:spPr>
            <a:ln w="25400" cap="rnd">
              <a:solidFill>
                <a:srgbClr val="FF0000"/>
              </a:solidFill>
              <a:round/>
            </a:ln>
            <a:effectLst/>
          </c:spPr>
          <c:marker>
            <c:symbol val="none"/>
          </c:marker>
          <c:xVal>
            <c:numLit>
              <c:formatCode>General</c:formatCode>
              <c:ptCount val="2"/>
              <c:pt idx="0">
                <c:v>1.19</c:v>
              </c:pt>
              <c:pt idx="1">
                <c:v>0</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2-A8A5-4D19-AF0F-196591C04FE0}"/>
            </c:ext>
          </c:extLst>
        </c:ser>
        <c:dLbls>
          <c:showLegendKey val="0"/>
          <c:showVal val="0"/>
          <c:showCatName val="0"/>
          <c:showSerName val="0"/>
          <c:showPercent val="0"/>
          <c:showBubbleSize val="0"/>
        </c:dLbls>
        <c:axId val="444044240"/>
        <c:axId val="444044800"/>
      </c:scatterChart>
      <c:valAx>
        <c:axId val="444044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44800"/>
        <c:crosses val="autoZero"/>
        <c:crossBetween val="midCat"/>
      </c:valAx>
      <c:valAx>
        <c:axId val="44404480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4424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Riparian</a:t>
            </a:r>
            <a:r>
              <a:rPr lang="en-US" baseline="0"/>
              <a:t> Vegetation Density</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62154362696391308"/>
                  <c:y val="8.692740728762538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Stds'!#REF!</c:f>
            </c:numRef>
          </c:xVal>
          <c:yVal>
            <c:numRef>
              <c:f>'Performance Stds'!#REF!</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0-7E87-4708-8D6A-0B0F5C65BEC1}"/>
            </c:ext>
          </c:extLst>
        </c:ser>
        <c:dLbls>
          <c:showLegendKey val="0"/>
          <c:showVal val="0"/>
          <c:showCatName val="0"/>
          <c:showSerName val="0"/>
          <c:showPercent val="0"/>
          <c:showBubbleSize val="0"/>
        </c:dLbls>
        <c:axId val="447428688"/>
        <c:axId val="447429248"/>
      </c:scatterChart>
      <c:valAx>
        <c:axId val="447428688"/>
        <c:scaling>
          <c:orientation val="minMax"/>
          <c:min val="10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9248"/>
        <c:crosses val="autoZero"/>
        <c:crossBetween val="midCat"/>
      </c:valAx>
      <c:valAx>
        <c:axId val="4474292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286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Riffle for Streams &gt;10% slope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0245964441424052"/>
                  <c:y val="9.5891596092373826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Standards'!$S$653:$X$653</c:f>
              <c:numCache>
                <c:formatCode>General</c:formatCode>
                <c:ptCount val="6"/>
                <c:pt idx="0" formatCode="0">
                  <c:v>66.714500000000001</c:v>
                </c:pt>
                <c:pt idx="2">
                  <c:v>70</c:v>
                </c:pt>
                <c:pt idx="3">
                  <c:v>75</c:v>
                </c:pt>
                <c:pt idx="5">
                  <c:v>80</c:v>
                </c:pt>
              </c:numCache>
            </c:numRef>
          </c:xVal>
          <c:yVal>
            <c:numRef>
              <c:f>'Performance Standards'!$S$654:$X$654</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54C0-4B16-B14E-5188ECFE15D4}"/>
            </c:ext>
          </c:extLst>
        </c:ser>
        <c:dLbls>
          <c:showLegendKey val="0"/>
          <c:showVal val="0"/>
          <c:showCatName val="0"/>
          <c:showSerName val="0"/>
          <c:showPercent val="0"/>
          <c:showBubbleSize val="0"/>
        </c:dLbls>
        <c:axId val="447431488"/>
        <c:axId val="447432048"/>
      </c:scatterChart>
      <c:valAx>
        <c:axId val="447431488"/>
        <c:scaling>
          <c:orientation val="minMax"/>
          <c:min val="5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2048"/>
        <c:crosses val="autoZero"/>
        <c:crossBetween val="midCat"/>
      </c:valAx>
      <c:valAx>
        <c:axId val="44743204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14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a:t>
            </a:r>
            <a:r>
              <a:rPr lang="en-US" baseline="0"/>
              <a:t> Impervious Cover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7724241923758899"/>
                  <c:y val="-0.3916827676435211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Standards'!$E$112:$H$112</c:f>
              <c:numCache>
                <c:formatCode>General</c:formatCode>
                <c:ptCount val="4"/>
                <c:pt idx="0" formatCode="0">
                  <c:v>25</c:v>
                </c:pt>
                <c:pt idx="1">
                  <c:v>10</c:v>
                </c:pt>
                <c:pt idx="2">
                  <c:v>9</c:v>
                </c:pt>
                <c:pt idx="3">
                  <c:v>0</c:v>
                </c:pt>
              </c:numCache>
            </c:numRef>
          </c:xVal>
          <c:yVal>
            <c:numRef>
              <c:f>'Performance Standards'!$E$113:$H$113</c:f>
              <c:numCache>
                <c:formatCode>General</c:formatCode>
                <c:ptCount val="4"/>
                <c:pt idx="0">
                  <c:v>0.3</c:v>
                </c:pt>
                <c:pt idx="1">
                  <c:v>0.69</c:v>
                </c:pt>
                <c:pt idx="2">
                  <c:v>0.7</c:v>
                </c:pt>
                <c:pt idx="3">
                  <c:v>1</c:v>
                </c:pt>
              </c:numCache>
            </c:numRef>
          </c:yVal>
          <c:smooth val="0"/>
          <c:extLst xmlns:c16r2="http://schemas.microsoft.com/office/drawing/2015/06/chart">
            <c:ext xmlns:c16="http://schemas.microsoft.com/office/drawing/2014/chart" uri="{C3380CC4-5D6E-409C-BE32-E72D297353CC}">
              <c16:uniqueId val="{00000000-6D1A-4B46-B753-5EE7BFC8112A}"/>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5.9288715306053522E-2"/>
                  <c:y val="-0.1837337377616655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Standards'!$C$112:$E$112</c:f>
              <c:numCache>
                <c:formatCode>General</c:formatCode>
                <c:ptCount val="3"/>
                <c:pt idx="0" formatCode="0">
                  <c:v>75.779661016949149</c:v>
                </c:pt>
                <c:pt idx="1">
                  <c:v>26</c:v>
                </c:pt>
                <c:pt idx="2" formatCode="0">
                  <c:v>25</c:v>
                </c:pt>
              </c:numCache>
            </c:numRef>
          </c:xVal>
          <c:yVal>
            <c:numRef>
              <c:f>'Performance Standards'!$C$113:$E$113</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0-C453-49FD-BCE0-42FA69BC7CEE}"/>
            </c:ext>
          </c:extLst>
        </c:ser>
        <c:dLbls>
          <c:showLegendKey val="0"/>
          <c:showVal val="0"/>
          <c:showCatName val="0"/>
          <c:showSerName val="0"/>
          <c:showPercent val="0"/>
          <c:showBubbleSize val="0"/>
        </c:dLbls>
        <c:axId val="447434848"/>
        <c:axId val="447435408"/>
      </c:scatterChart>
      <c:valAx>
        <c:axId val="4474348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5408"/>
        <c:crosses val="autoZero"/>
        <c:crossBetween val="midCat"/>
      </c:valAx>
      <c:valAx>
        <c:axId val="44743540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48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Phosphorous Adjacent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0390651350299988"/>
                  <c:y val="-0.5713254301445674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Standards'!$AB$517:$AG$517</c:f>
              <c:numCache>
                <c:formatCode>General</c:formatCode>
                <c:ptCount val="6"/>
                <c:pt idx="0">
                  <c:v>0.23599999999999999</c:v>
                </c:pt>
                <c:pt idx="2">
                  <c:v>0.18</c:v>
                </c:pt>
                <c:pt idx="4">
                  <c:v>0.09</c:v>
                </c:pt>
                <c:pt idx="5">
                  <c:v>0</c:v>
                </c:pt>
              </c:numCache>
            </c:numRef>
          </c:xVal>
          <c:yVal>
            <c:numRef>
              <c:f>'Performance Standards'!$AB$518:$AG$518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306E-43E0-A7CF-22D8DE561819}"/>
            </c:ext>
          </c:extLst>
        </c:ser>
        <c:dLbls>
          <c:showLegendKey val="0"/>
          <c:showVal val="0"/>
          <c:showCatName val="0"/>
          <c:showSerName val="0"/>
          <c:showPercent val="0"/>
          <c:showBubbleSize val="0"/>
        </c:dLbls>
        <c:axId val="447437648"/>
        <c:axId val="447438208"/>
      </c:scatterChart>
      <c:valAx>
        <c:axId val="447437648"/>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8208"/>
        <c:crosses val="autoZero"/>
        <c:crossBetween val="midCat"/>
      </c:valAx>
      <c:valAx>
        <c:axId val="4474382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3764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0519196554732101"/>
                  <c:y val="-0.3687329491846438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Standards'!$AB$484:$AG$484</c:f>
              <c:numCache>
                <c:formatCode>General</c:formatCode>
                <c:ptCount val="6"/>
                <c:pt idx="0">
                  <c:v>3.9</c:v>
                </c:pt>
                <c:pt idx="2">
                  <c:v>2</c:v>
                </c:pt>
                <c:pt idx="4">
                  <c:v>0.7</c:v>
                </c:pt>
                <c:pt idx="5">
                  <c:v>0</c:v>
                </c:pt>
              </c:numCache>
            </c:numRef>
          </c:xVal>
          <c:yVal>
            <c:numRef>
              <c:f>'Performance Standards'!$AB$485:$AG$485</c:f>
              <c:numCache>
                <c:formatCode>General</c:formatCode>
                <c:ptCount val="6"/>
                <c:pt idx="0">
                  <c:v>8.2173999999999997E-2</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5444-4189-9526-06CAD9585BFE}"/>
            </c:ext>
          </c:extLst>
        </c:ser>
        <c:ser>
          <c:idx val="1"/>
          <c:order val="1"/>
          <c:spPr>
            <a:ln w="25400" cap="rnd">
              <a:solidFill>
                <a:srgbClr val="FF0000"/>
              </a:solidFill>
              <a:round/>
            </a:ln>
            <a:effectLst/>
          </c:spPr>
          <c:marker>
            <c:symbol val="none"/>
          </c:marker>
          <c:xVal>
            <c:numLit>
              <c:formatCode>General</c:formatCode>
              <c:ptCount val="2"/>
              <c:pt idx="0">
                <c:v>4</c:v>
              </c:pt>
              <c:pt idx="1">
                <c:v>4.5</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1-CDAF-42DC-B675-C15C6C0C22DF}"/>
            </c:ext>
          </c:extLst>
        </c:ser>
        <c:dLbls>
          <c:showLegendKey val="0"/>
          <c:showVal val="0"/>
          <c:showCatName val="0"/>
          <c:showSerName val="0"/>
          <c:showPercent val="0"/>
          <c:showBubbleSize val="0"/>
        </c:dLbls>
        <c:axId val="447441008"/>
        <c:axId val="447441568"/>
      </c:scatterChart>
      <c:valAx>
        <c:axId val="447441008"/>
        <c:scaling>
          <c:orientation val="minMax"/>
          <c:max val="4.5"/>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41568"/>
        <c:crosses val="autoZero"/>
        <c:crossBetween val="midCat"/>
      </c:valAx>
      <c:valAx>
        <c:axId val="44744156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4410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Mountains &amp; DA 0-5 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Standards'!$AB$187</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8.6765952302443584E-4"/>
                  <c:y val="0.29281107981783605"/>
                </c:manualLayout>
              </c:layout>
              <c:numFmt formatCode="#,##0.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Standards'!$AB$181:$AG$181</c:f>
              <c:numCache>
                <c:formatCode>General</c:formatCode>
                <c:ptCount val="6"/>
                <c:pt idx="0">
                  <c:v>0</c:v>
                </c:pt>
                <c:pt idx="1">
                  <c:v>4.5999999999999996</c:v>
                </c:pt>
                <c:pt idx="2">
                  <c:v>6.9</c:v>
                </c:pt>
                <c:pt idx="3">
                  <c:v>13.8</c:v>
                </c:pt>
                <c:pt idx="4">
                  <c:v>16.100000000000001</c:v>
                </c:pt>
                <c:pt idx="5">
                  <c:v>23</c:v>
                </c:pt>
              </c:numCache>
            </c:numRef>
          </c:xVal>
          <c:yVal>
            <c:numRef>
              <c:f>'Performance Standards'!$AB$184:$AG$184</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1349-462F-AF75-ED5FB8B6F41C}"/>
            </c:ext>
          </c:extLst>
        </c:ser>
        <c:ser>
          <c:idx val="1"/>
          <c:order val="1"/>
          <c:tx>
            <c:strRef>
              <c:f>'Performance Standards'!$AC$187</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5562851092144495"/>
                  <c:y val="2.223276698979933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Standards'!$AB$182:$AH$182</c:f>
              <c:numCache>
                <c:formatCode>0.0</c:formatCode>
                <c:ptCount val="7"/>
                <c:pt idx="0">
                  <c:v>0</c:v>
                </c:pt>
                <c:pt idx="1">
                  <c:v>4.2</c:v>
                </c:pt>
                <c:pt idx="2">
                  <c:v>6.3</c:v>
                </c:pt>
                <c:pt idx="3">
                  <c:v>12.6</c:v>
                </c:pt>
                <c:pt idx="4">
                  <c:v>14.7</c:v>
                </c:pt>
                <c:pt idx="5">
                  <c:v>21</c:v>
                </c:pt>
              </c:numCache>
            </c:numRef>
          </c:xVal>
          <c:yVal>
            <c:numRef>
              <c:f>'Performance Standards'!$AB$184:$AH$184</c:f>
              <c:numCache>
                <c:formatCode>General</c:formatCode>
                <c:ptCount val="7"/>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1-B07A-4045-959E-321507219357}"/>
            </c:ext>
          </c:extLst>
        </c:ser>
        <c:ser>
          <c:idx val="2"/>
          <c:order val="2"/>
          <c:tx>
            <c:strRef>
              <c:f>'Performance Standards'!$AD$187</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5642198163025781"/>
                  <c:y val="0.1931024260773697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Standards'!$AB$183:$AG$183</c:f>
              <c:numCache>
                <c:formatCode>General</c:formatCode>
                <c:ptCount val="6"/>
                <c:pt idx="0">
                  <c:v>0</c:v>
                </c:pt>
                <c:pt idx="1">
                  <c:v>3.6</c:v>
                </c:pt>
                <c:pt idx="2">
                  <c:v>5.4</c:v>
                </c:pt>
                <c:pt idx="3">
                  <c:v>10.8</c:v>
                </c:pt>
                <c:pt idx="4">
                  <c:v>12.6</c:v>
                </c:pt>
                <c:pt idx="5">
                  <c:v>18</c:v>
                </c:pt>
              </c:numCache>
            </c:numRef>
          </c:xVal>
          <c:yVal>
            <c:numRef>
              <c:f>'Performance Standards'!$AB$184:$AG$184</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2-B07A-4045-959E-321507219357}"/>
            </c:ext>
          </c:extLst>
        </c:ser>
        <c:dLbls>
          <c:showLegendKey val="0"/>
          <c:showVal val="0"/>
          <c:showCatName val="0"/>
          <c:showSerName val="0"/>
          <c:showPercent val="0"/>
          <c:showBubbleSize val="0"/>
        </c:dLbls>
        <c:axId val="446208144"/>
        <c:axId val="446208704"/>
      </c:scatterChart>
      <c:valAx>
        <c:axId val="4462081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8704"/>
        <c:crosses val="autoZero"/>
        <c:crossBetween val="midCat"/>
      </c:valAx>
      <c:valAx>
        <c:axId val="446208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0814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Mountains &amp; 5 &lt; DA &lt;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Standards'!$AB$221</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108366644219025"/>
                  <c:y val="0.41706391074067078"/>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Standards'!$AB$215:$AG$215</c:f>
              <c:numCache>
                <c:formatCode>0.0</c:formatCode>
                <c:ptCount val="6"/>
                <c:pt idx="0">
                  <c:v>0</c:v>
                </c:pt>
                <c:pt idx="1">
                  <c:v>3.2</c:v>
                </c:pt>
                <c:pt idx="2">
                  <c:v>4.8</c:v>
                </c:pt>
                <c:pt idx="3">
                  <c:v>9.6</c:v>
                </c:pt>
                <c:pt idx="4">
                  <c:v>11.200000000000001</c:v>
                </c:pt>
                <c:pt idx="5">
                  <c:v>16</c:v>
                </c:pt>
              </c:numCache>
            </c:numRef>
          </c:xVal>
          <c:yVal>
            <c:numRef>
              <c:f>'Performance Standards'!$AB$218:$AG$218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D468-47AD-93B0-A3B33F0454A6}"/>
            </c:ext>
          </c:extLst>
        </c:ser>
        <c:ser>
          <c:idx val="1"/>
          <c:order val="1"/>
          <c:tx>
            <c:strRef>
              <c:f>'Performance Standards'!$AC$221</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7447566935525069"/>
                  <c:y val="3.4519587848722402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Standards'!$AB$216:$AH$216</c:f>
              <c:numCache>
                <c:formatCode>0.0</c:formatCode>
                <c:ptCount val="7"/>
                <c:pt idx="0">
                  <c:v>0</c:v>
                </c:pt>
                <c:pt idx="1">
                  <c:v>2.8000000000000003</c:v>
                </c:pt>
                <c:pt idx="2">
                  <c:v>4.2</c:v>
                </c:pt>
                <c:pt idx="3">
                  <c:v>8.4</c:v>
                </c:pt>
                <c:pt idx="4">
                  <c:v>9.8000000000000007</c:v>
                </c:pt>
                <c:pt idx="5">
                  <c:v>14.000000000000002</c:v>
                </c:pt>
              </c:numCache>
            </c:numRef>
          </c:xVal>
          <c:yVal>
            <c:numRef>
              <c:f>'Performance Standards'!$AB$218:$AH$218</c:f>
              <c:numCache>
                <c:formatCode>General</c:formatCode>
                <c:ptCount val="7"/>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DB84-4A5E-B26A-4447C020B45B}"/>
            </c:ext>
          </c:extLst>
        </c:ser>
        <c:ser>
          <c:idx val="2"/>
          <c:order val="2"/>
          <c:tx>
            <c:strRef>
              <c:f>'Performance Standards'!$AD$221</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0.10201525916166997"/>
                  <c:y val="0.13387420649963208"/>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Standards'!$AB$217:$AG$217</c:f>
              <c:numCache>
                <c:formatCode>0.0</c:formatCode>
                <c:ptCount val="6"/>
                <c:pt idx="0">
                  <c:v>0</c:v>
                </c:pt>
                <c:pt idx="1">
                  <c:v>2.4</c:v>
                </c:pt>
                <c:pt idx="2">
                  <c:v>3.5999999999999996</c:v>
                </c:pt>
                <c:pt idx="3">
                  <c:v>7.1999999999999993</c:v>
                </c:pt>
                <c:pt idx="4">
                  <c:v>8.4</c:v>
                </c:pt>
                <c:pt idx="5">
                  <c:v>12</c:v>
                </c:pt>
              </c:numCache>
            </c:numRef>
          </c:xVal>
          <c:yVal>
            <c:numRef>
              <c:f>'Performance Standards'!$AB$218:$AG$218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1-DB84-4A5E-B26A-4447C020B45B}"/>
            </c:ext>
          </c:extLst>
        </c:ser>
        <c:dLbls>
          <c:showLegendKey val="0"/>
          <c:showVal val="0"/>
          <c:showCatName val="0"/>
          <c:showSerName val="0"/>
          <c:showPercent val="0"/>
          <c:showBubbleSize val="0"/>
        </c:dLbls>
        <c:axId val="446212624"/>
        <c:axId val="446213184"/>
      </c:scatterChart>
      <c:valAx>
        <c:axId val="44621262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3184"/>
        <c:crosses val="autoZero"/>
        <c:crossBetween val="midCat"/>
      </c:valAx>
      <c:valAx>
        <c:axId val="4462131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262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Fecal Coliform Bacteria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134647522980054E-2"/>
                  <c:y val="-0.4280697436714209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Standards'!$AB$112:$AH$112</c:f>
              <c:numCache>
                <c:formatCode>General</c:formatCode>
                <c:ptCount val="7"/>
                <c:pt idx="0" formatCode="0.00">
                  <c:v>284.25241614553727</c:v>
                </c:pt>
                <c:pt idx="2">
                  <c:v>199</c:v>
                </c:pt>
                <c:pt idx="4" formatCode="0.00">
                  <c:v>85.27572484366118</c:v>
                </c:pt>
                <c:pt idx="5">
                  <c:v>0</c:v>
                </c:pt>
              </c:numCache>
            </c:numRef>
          </c:xVal>
          <c:yVal>
            <c:numRef>
              <c:f>'Performance Standards'!$AB$113:$AH$113</c:f>
              <c:numCache>
                <c:formatCode>General</c:formatCode>
                <c:ptCount val="7"/>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6B9A-49E1-B4FD-F489DFFCE937}"/>
            </c:ext>
          </c:extLst>
        </c:ser>
        <c:dLbls>
          <c:showLegendKey val="0"/>
          <c:showVal val="0"/>
          <c:showCatName val="0"/>
          <c:showSerName val="0"/>
          <c:showPercent val="0"/>
          <c:showBubbleSize val="0"/>
        </c:dLbls>
        <c:axId val="446215984"/>
        <c:axId val="446216544"/>
      </c:scatterChart>
      <c:valAx>
        <c:axId val="446215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6544"/>
        <c:crosses val="autoZero"/>
        <c:crossBetween val="midCat"/>
      </c:valAx>
      <c:valAx>
        <c:axId val="4462165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59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Percent Streambank Erosion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5.4423711113061643E-2"/>
                  <c:y val="-0.58341710147272674"/>
                </c:manualLayout>
              </c:layout>
              <c:numFmt formatCode="#,##0.0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Standards'!$S$114:$X$114</c:f>
              <c:numCache>
                <c:formatCode>General</c:formatCode>
                <c:ptCount val="6"/>
                <c:pt idx="0">
                  <c:v>41</c:v>
                </c:pt>
                <c:pt idx="2">
                  <c:v>25</c:v>
                </c:pt>
                <c:pt idx="4">
                  <c:v>9</c:v>
                </c:pt>
                <c:pt idx="5">
                  <c:v>5</c:v>
                </c:pt>
              </c:numCache>
            </c:numRef>
          </c:xVal>
          <c:yVal>
            <c:numRef>
              <c:f>'Performance Standards'!$S$115:$X$115</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5148-4788-A083-43E68337C776}"/>
            </c:ext>
          </c:extLst>
        </c:ser>
        <c:dLbls>
          <c:showLegendKey val="0"/>
          <c:showVal val="0"/>
          <c:showCatName val="0"/>
          <c:showSerName val="0"/>
          <c:showPercent val="0"/>
          <c:showBubbleSize val="0"/>
        </c:dLbls>
        <c:axId val="446218784"/>
        <c:axId val="446219344"/>
      </c:scatterChart>
      <c:valAx>
        <c:axId val="4462187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9344"/>
        <c:crosses val="autoZero"/>
        <c:crossBetween val="midCat"/>
      </c:valAx>
      <c:valAx>
        <c:axId val="44621934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18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Sinuosity</a:t>
            </a:r>
            <a:r>
              <a:rPr lang="en-US" baseline="0"/>
              <a:t> for Colluvial Valleys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9.2595944040808204E-2"/>
                  <c:y val="-0.27430807206032931"/>
                </c:manualLayout>
              </c:layout>
              <c:numFmt formatCode="General" sourceLinked="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Standards'!$S$811:$X$811</c:f>
              <c:numCache>
                <c:formatCode>General</c:formatCode>
                <c:ptCount val="6"/>
                <c:pt idx="2">
                  <c:v>1.3</c:v>
                </c:pt>
                <c:pt idx="3">
                  <c:v>1.21</c:v>
                </c:pt>
              </c:numCache>
            </c:numRef>
          </c:xVal>
          <c:yVal>
            <c:numRef>
              <c:f>'Performance Standards'!$S$812:$X$812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11FE-4D9B-BDFA-8076D116E387}"/>
            </c:ext>
          </c:extLst>
        </c:ser>
        <c:ser>
          <c:idx val="2"/>
          <c:order val="1"/>
          <c:tx>
            <c:v>Ceiling</c:v>
          </c:tx>
          <c:spPr>
            <a:ln w="25400" cap="rnd">
              <a:solidFill>
                <a:srgbClr val="FF0000"/>
              </a:solidFill>
              <a:round/>
            </a:ln>
            <a:effectLst/>
          </c:spPr>
          <c:marker>
            <c:symbol val="none"/>
          </c:marker>
          <c:xVal>
            <c:numLit>
              <c:formatCode>General</c:formatCode>
              <c:ptCount val="2"/>
              <c:pt idx="0">
                <c:v>1</c:v>
              </c:pt>
              <c:pt idx="1">
                <c:v>1.2</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2-ED24-4461-A147-0AA304F4781E}"/>
            </c:ext>
          </c:extLst>
        </c:ser>
        <c:ser>
          <c:idx val="3"/>
          <c:order val="2"/>
          <c:tx>
            <c:v>Floor</c:v>
          </c:tx>
          <c:spPr>
            <a:ln w="31750" cap="rnd">
              <a:solidFill>
                <a:srgbClr val="FF0000"/>
              </a:solidFill>
              <a:round/>
            </a:ln>
            <a:effectLst/>
          </c:spPr>
          <c:marker>
            <c:symbol val="none"/>
          </c:marker>
          <c:xVal>
            <c:numLit>
              <c:formatCode>General</c:formatCode>
              <c:ptCount val="2"/>
              <c:pt idx="0">
                <c:v>1.3</c:v>
              </c:pt>
              <c:pt idx="1">
                <c:v>1.4</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3-ED24-4461-A147-0AA304F4781E}"/>
            </c:ext>
          </c:extLst>
        </c:ser>
        <c:dLbls>
          <c:showLegendKey val="0"/>
          <c:showVal val="0"/>
          <c:showCatName val="0"/>
          <c:showSerName val="0"/>
          <c:showPercent val="0"/>
          <c:showBubbleSize val="0"/>
        </c:dLbls>
        <c:axId val="446222704"/>
        <c:axId val="446223264"/>
      </c:scatterChart>
      <c:valAx>
        <c:axId val="446222704"/>
        <c:scaling>
          <c:orientation val="minMax"/>
          <c:max val="1.4"/>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3264"/>
        <c:crosses val="autoZero"/>
        <c:crossBetween val="midCat"/>
      </c:valAx>
      <c:valAx>
        <c:axId val="4462232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27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LWDI</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Standards'!$S$13</c:f>
              <c:strCache>
                <c:ptCount val="1"/>
                <c:pt idx="0">
                  <c:v>NF &amp; 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35370819514126944"/>
                  <c:y val="0.2731430326662429"/>
                </c:manualLayout>
              </c:layout>
              <c:numFmt formatCode="0.00000E+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Standards'!$S$10:$W$10</c:f>
              <c:numCache>
                <c:formatCode>General</c:formatCode>
                <c:ptCount val="5"/>
                <c:pt idx="0">
                  <c:v>0</c:v>
                </c:pt>
                <c:pt idx="2">
                  <c:v>200</c:v>
                </c:pt>
                <c:pt idx="4">
                  <c:v>300</c:v>
                </c:pt>
              </c:numCache>
            </c:numRef>
          </c:xVal>
          <c:yVal>
            <c:numRef>
              <c:f>'Performance Standards'!$S$11:$W$11</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7D9C-4895-B98E-45CEF21B931D}"/>
            </c:ext>
          </c:extLst>
        </c:ser>
        <c:ser>
          <c:idx val="1"/>
          <c:order val="1"/>
          <c:tx>
            <c:strRef>
              <c:f>'Performance Standards'!$T$13</c:f>
              <c:strCache>
                <c:ptCount val="1"/>
                <c:pt idx="0">
                  <c:v>Functioning</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1.5180613089413335E-2"/>
                  <c:y val="0.15943370997833448"/>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Standards'!$W$10:$X$10</c:f>
              <c:numCache>
                <c:formatCode>General</c:formatCode>
                <c:ptCount val="2"/>
                <c:pt idx="0">
                  <c:v>300</c:v>
                </c:pt>
                <c:pt idx="1">
                  <c:v>700</c:v>
                </c:pt>
              </c:numCache>
            </c:numRef>
          </c:xVal>
          <c:yVal>
            <c:numRef>
              <c:f>'Performance Standards'!$W$11:$X$11</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1-2777-4E45-B140-67A5ECEFF695}"/>
            </c:ext>
          </c:extLst>
        </c:ser>
        <c:dLbls>
          <c:showLegendKey val="0"/>
          <c:showVal val="0"/>
          <c:showCatName val="0"/>
          <c:showSerName val="0"/>
          <c:showPercent val="0"/>
          <c:showBubbleSize val="0"/>
        </c:dLbls>
        <c:axId val="444047600"/>
        <c:axId val="444048160"/>
      </c:scatterChart>
      <c:valAx>
        <c:axId val="4440476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48160"/>
        <c:crosses val="autoZero"/>
        <c:crossBetween val="midCat"/>
      </c:valAx>
      <c:valAx>
        <c:axId val="44404816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476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Buffer Width - A, B or Bc Stream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0.54505420421658257"/>
                  <c:y val="8.564872445782502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linear"/>
            <c:dispRSqr val="0"/>
            <c:dispEq val="1"/>
            <c:trendlineLbl>
              <c:layout>
                <c:manualLayout>
                  <c:x val="-2.7948043531605678E-2"/>
                  <c:y val="2.1580188594102469E-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Standards'!$S$183:$W$183</c:f>
              <c:numCache>
                <c:formatCode>General</c:formatCode>
                <c:ptCount val="5"/>
                <c:pt idx="0">
                  <c:v>0</c:v>
                </c:pt>
                <c:pt idx="2">
                  <c:v>13</c:v>
                </c:pt>
                <c:pt idx="4">
                  <c:v>30</c:v>
                </c:pt>
              </c:numCache>
            </c:numRef>
          </c:xVal>
          <c:yVal>
            <c:numRef>
              <c:f>'Performance Standards'!$S$184:$W$184</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0-9FCE-4EE9-84B8-517F80A767B6}"/>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3.4909994086689575E-3"/>
                  <c:y val="0.1601526584119838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Standards'!$W$183:$X$183</c:f>
              <c:numCache>
                <c:formatCode>General</c:formatCode>
                <c:ptCount val="2"/>
                <c:pt idx="0">
                  <c:v>30</c:v>
                </c:pt>
                <c:pt idx="1">
                  <c:v>50</c:v>
                </c:pt>
              </c:numCache>
              <c:extLst xmlns:c16r2="http://schemas.microsoft.com/office/drawing/2015/06/chart" xmlns:c15="http://schemas.microsoft.com/office/drawing/2012/chart"/>
            </c:numRef>
          </c:xVal>
          <c:yVal>
            <c:numRef>
              <c:f>'Performance Standards'!$W$184:$X$184</c:f>
              <c:numCache>
                <c:formatCode>General</c:formatCode>
                <c:ptCount val="2"/>
                <c:pt idx="0">
                  <c:v>0.7</c:v>
                </c:pt>
                <c:pt idx="1">
                  <c:v>1</c:v>
                </c:pt>
              </c:numCache>
              <c:extLst xmlns:c16r2="http://schemas.microsoft.com/office/drawing/2015/06/chart" xmlns:c15="http://schemas.microsoft.com/office/drawing/2012/chart"/>
            </c:numRef>
          </c:yVal>
          <c:smooth val="0"/>
          <c:extLst xmlns:c16r2="http://schemas.microsoft.com/office/drawing/2015/06/chart" xmlns:c15="http://schemas.microsoft.com/office/drawing/2012/chart">
            <c:ext xmlns:c16="http://schemas.microsoft.com/office/drawing/2014/chart" uri="{C3380CC4-5D6E-409C-BE32-E72D297353CC}">
              <c16:uniqueId val="{00000000-C677-4069-807C-C6D888A33D9F}"/>
            </c:ext>
          </c:extLst>
        </c:ser>
        <c:dLbls>
          <c:showLegendKey val="0"/>
          <c:showVal val="0"/>
          <c:showCatName val="0"/>
          <c:showSerName val="0"/>
          <c:showPercent val="0"/>
          <c:showBubbleSize val="0"/>
        </c:dLbls>
        <c:axId val="446226064"/>
        <c:axId val="446226624"/>
        <c:extLst xmlns:c16r2="http://schemas.microsoft.com/office/drawing/2015/06/chart"/>
      </c:scatterChart>
      <c:valAx>
        <c:axId val="4462260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6624"/>
        <c:crosses val="autoZero"/>
        <c:crossBetween val="midCat"/>
      </c:valAx>
      <c:valAx>
        <c:axId val="446226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60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Basal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4496885738450319"/>
                  <c:y val="0.12504196689290481"/>
                </c:manualLayout>
              </c:layout>
              <c:numFmt formatCode="0.00000E+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Standards'!$S$251:$X$251</c:f>
              <c:numCache>
                <c:formatCode>General</c:formatCode>
                <c:ptCount val="6"/>
                <c:pt idx="0">
                  <c:v>0</c:v>
                </c:pt>
                <c:pt idx="2">
                  <c:v>40</c:v>
                </c:pt>
                <c:pt idx="5">
                  <c:v>100</c:v>
                </c:pt>
              </c:numCache>
            </c:numRef>
          </c:xVal>
          <c:yVal>
            <c:numRef>
              <c:f>'Performance Standards'!$S$252:$X$252</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4DFD-4BB9-9B0D-3CE048A84054}"/>
            </c:ext>
          </c:extLst>
        </c:ser>
        <c:dLbls>
          <c:showLegendKey val="0"/>
          <c:showVal val="0"/>
          <c:showCatName val="0"/>
          <c:showSerName val="0"/>
          <c:showPercent val="0"/>
          <c:showBubbleSize val="0"/>
        </c:dLbls>
        <c:axId val="446228864"/>
        <c:axId val="446229424"/>
      </c:scatterChart>
      <c:valAx>
        <c:axId val="4462288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9424"/>
        <c:crosses val="autoZero"/>
        <c:crossBetween val="midCat"/>
      </c:valAx>
      <c:valAx>
        <c:axId val="4462294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28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Bed</a:t>
            </a:r>
            <a:r>
              <a:rPr lang="en-US" baseline="0"/>
              <a:t> Material Characterization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0.15488229423829203"/>
                  <c:y val="3.1465861883158648E-2"/>
                </c:manualLayout>
              </c:layout>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Standards'!$S$319:$W$319</c:f>
              <c:numCache>
                <c:formatCode>General</c:formatCode>
                <c:ptCount val="5"/>
                <c:pt idx="0">
                  <c:v>0.01</c:v>
                </c:pt>
                <c:pt idx="1">
                  <c:v>0.05</c:v>
                </c:pt>
                <c:pt idx="3">
                  <c:v>0.1</c:v>
                </c:pt>
              </c:numCache>
            </c:numRef>
          </c:xVal>
          <c:yVal>
            <c:numRef>
              <c:f>'Performance Standards'!$S$320:$W$320</c:f>
              <c:numCache>
                <c:formatCode>General</c:formatCode>
                <c:ptCount val="5"/>
                <c:pt idx="0">
                  <c:v>0</c:v>
                </c:pt>
                <c:pt idx="1">
                  <c:v>0.28999999999999998</c:v>
                </c:pt>
                <c:pt idx="2">
                  <c:v>0.3</c:v>
                </c:pt>
                <c:pt idx="3" formatCode="0.00">
                  <c:v>0.65200000000000002</c:v>
                </c:pt>
                <c:pt idx="4">
                  <c:v>0.7</c:v>
                </c:pt>
              </c:numCache>
            </c:numRef>
          </c:yVal>
          <c:smooth val="0"/>
          <c:extLst xmlns:c16r2="http://schemas.microsoft.com/office/drawing/2015/06/chart">
            <c:ext xmlns:c16="http://schemas.microsoft.com/office/drawing/2014/chart" uri="{C3380CC4-5D6E-409C-BE32-E72D297353CC}">
              <c16:uniqueId val="{00000000-6172-4F85-8BC1-012E13C1F724}"/>
            </c:ext>
          </c:extLst>
        </c:ser>
        <c:ser>
          <c:idx val="1"/>
          <c:order val="1"/>
          <c:spPr>
            <a:ln w="25400" cap="rnd">
              <a:solidFill>
                <a:srgbClr val="FF0000"/>
              </a:solidFill>
              <a:round/>
            </a:ln>
            <a:effectLst/>
          </c:spPr>
          <c:marker>
            <c:symbol val="none"/>
          </c:marker>
          <c:xVal>
            <c:numLit>
              <c:formatCode>General</c:formatCode>
              <c:ptCount val="2"/>
              <c:pt idx="0">
                <c:v>0.10100000000000001</c:v>
              </c:pt>
              <c:pt idx="1">
                <c:v>0.12</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1-70A4-4D58-A0D3-EB6C872EF057}"/>
            </c:ext>
          </c:extLst>
        </c:ser>
        <c:dLbls>
          <c:showLegendKey val="0"/>
          <c:showVal val="0"/>
          <c:showCatName val="0"/>
          <c:showSerName val="0"/>
          <c:showPercent val="0"/>
          <c:showBubbleSize val="0"/>
        </c:dLbls>
        <c:axId val="446232224"/>
        <c:axId val="446232784"/>
      </c:scatterChart>
      <c:valAx>
        <c:axId val="446232224"/>
        <c:scaling>
          <c:orientation val="minMax"/>
          <c:max val="0.1200000000000000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32784"/>
        <c:crosses val="autoZero"/>
        <c:crossBetween val="midCat"/>
      </c:valAx>
      <c:valAx>
        <c:axId val="4462327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322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EPT Taxa Present</a:t>
            </a:r>
            <a:r>
              <a:rPr lang="en-US" baseline="0"/>
              <a:t> Mountain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0.2630553115199939"/>
                  <c:y val="6.3584815196636321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Standards'!$AK$79:$AP$79</c:f>
              <c:numCache>
                <c:formatCode>0.0000</c:formatCode>
                <c:ptCount val="6"/>
                <c:pt idx="0" formatCode="General">
                  <c:v>10</c:v>
                </c:pt>
                <c:pt idx="2" formatCode="General">
                  <c:v>19</c:v>
                </c:pt>
                <c:pt idx="4" formatCode="General">
                  <c:v>28</c:v>
                </c:pt>
                <c:pt idx="5" formatCode="General">
                  <c:v>36</c:v>
                </c:pt>
              </c:numCache>
            </c:numRef>
          </c:xVal>
          <c:yVal>
            <c:numRef>
              <c:f>'Performance Standards'!$AK$80:$AP$80</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3220-4B15-9F7A-7763D44DA4C2}"/>
            </c:ext>
          </c:extLst>
        </c:ser>
        <c:dLbls>
          <c:showLegendKey val="0"/>
          <c:showVal val="0"/>
          <c:showCatName val="0"/>
          <c:showSerName val="0"/>
          <c:showPercent val="0"/>
          <c:showBubbleSize val="0"/>
        </c:dLbls>
        <c:axId val="446235024"/>
        <c:axId val="446235584"/>
      </c:scatterChart>
      <c:valAx>
        <c:axId val="44623502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35584"/>
        <c:crosses val="autoZero"/>
        <c:crossBetween val="midCat"/>
      </c:valAx>
      <c:valAx>
        <c:axId val="44623558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350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EPT Taxa Present</a:t>
            </a:r>
            <a:r>
              <a:rPr lang="en-US" baseline="0"/>
              <a:t> Piedmont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1.781593126078259E-2"/>
                  <c:y val="0.32250661086824173"/>
                </c:manualLayout>
              </c:layout>
              <c:numFmt formatCode="#,##0.000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Standards'!$AK$112:$AP$112</c:f>
              <c:numCache>
                <c:formatCode>General</c:formatCode>
                <c:ptCount val="6"/>
                <c:pt idx="0">
                  <c:v>6</c:v>
                </c:pt>
                <c:pt idx="2">
                  <c:v>14</c:v>
                </c:pt>
                <c:pt idx="4">
                  <c:v>21</c:v>
                </c:pt>
                <c:pt idx="5">
                  <c:v>28</c:v>
                </c:pt>
              </c:numCache>
            </c:numRef>
          </c:xVal>
          <c:yVal>
            <c:numRef>
              <c:f>'Performance Standards'!$AK$113:$AP$113</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784E-4900-84E9-4CE0490071DA}"/>
            </c:ext>
          </c:extLst>
        </c:ser>
        <c:dLbls>
          <c:showLegendKey val="0"/>
          <c:showVal val="0"/>
          <c:showCatName val="0"/>
          <c:showSerName val="0"/>
          <c:showPercent val="0"/>
          <c:showBubbleSize val="0"/>
        </c:dLbls>
        <c:axId val="446237824"/>
        <c:axId val="448600544"/>
      </c:scatterChart>
      <c:valAx>
        <c:axId val="44623782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00544"/>
        <c:crosses val="autoZero"/>
        <c:crossBetween val="midCat"/>
      </c:valAx>
      <c:valAx>
        <c:axId val="4486005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23782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EPT</a:t>
            </a:r>
            <a:r>
              <a:rPr lang="en-US" baseline="0"/>
              <a:t> Taxa Present Coastal Plain Region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4"/>
            <c:dispRSqr val="0"/>
            <c:dispEq val="1"/>
            <c:trendlineLbl>
              <c:layout>
                <c:manualLayout>
                  <c:x val="-3.5035433070866144E-2"/>
                  <c:y val="0.2678324827065775"/>
                </c:manualLayout>
              </c:layout>
              <c:numFmt formatCode="#,##0.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Standards'!$AK$147:$AP$147</c:f>
              <c:numCache>
                <c:formatCode>General</c:formatCode>
                <c:ptCount val="6"/>
                <c:pt idx="0">
                  <c:v>5</c:v>
                </c:pt>
                <c:pt idx="2">
                  <c:v>12</c:v>
                </c:pt>
                <c:pt idx="4">
                  <c:v>18</c:v>
                </c:pt>
                <c:pt idx="5">
                  <c:v>24</c:v>
                </c:pt>
              </c:numCache>
            </c:numRef>
          </c:xVal>
          <c:yVal>
            <c:numRef>
              <c:f>'Performance Standards'!$AK$148:$AP$148</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486C-43FC-98E8-B7BE00F686B9}"/>
            </c:ext>
          </c:extLst>
        </c:ser>
        <c:dLbls>
          <c:showLegendKey val="0"/>
          <c:showVal val="0"/>
          <c:showCatName val="0"/>
          <c:showSerName val="0"/>
          <c:showPercent val="0"/>
          <c:showBubbleSize val="0"/>
        </c:dLbls>
        <c:axId val="448602784"/>
        <c:axId val="448603344"/>
      </c:scatterChart>
      <c:valAx>
        <c:axId val="4486027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03344"/>
        <c:crosses val="autoZero"/>
        <c:crossBetween val="midCat"/>
      </c:valAx>
      <c:valAx>
        <c:axId val="4486033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027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Mountains &amp; DA &gt;=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Standards'!$AB$255</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5572812731352154E-2"/>
                  <c:y val="0.2158940486870984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Standards'!$AB$283:$AH$283</c:f>
              <c:numCache>
                <c:formatCode>General</c:formatCode>
                <c:ptCount val="7"/>
                <c:pt idx="0">
                  <c:v>0</c:v>
                </c:pt>
                <c:pt idx="1">
                  <c:v>3.5999999999999996</c:v>
                </c:pt>
                <c:pt idx="2">
                  <c:v>5.4</c:v>
                </c:pt>
                <c:pt idx="3">
                  <c:v>10.8</c:v>
                </c:pt>
                <c:pt idx="4">
                  <c:v>12.6</c:v>
                </c:pt>
                <c:pt idx="5">
                  <c:v>18</c:v>
                </c:pt>
              </c:numCache>
            </c:numRef>
          </c:xVal>
          <c:yVal>
            <c:numRef>
              <c:f>'Performance Standards'!$AB$286:$AH$286</c:f>
              <c:numCache>
                <c:formatCode>General</c:formatCode>
                <c:ptCount val="7"/>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0-78A0-4F6D-9C6B-FDE1FA9E0BE5}"/>
            </c:ext>
          </c:extLst>
        </c:ser>
        <c:ser>
          <c:idx val="1"/>
          <c:order val="1"/>
          <c:tx>
            <c:strRef>
              <c:f>'Performance Standards'!$AC$255</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20515990817676055"/>
                  <c:y val="0.29537205217962481"/>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Standards'!$AB$284:$AH$284</c:f>
              <c:numCache>
                <c:formatCode>0.0</c:formatCode>
                <c:ptCount val="7"/>
                <c:pt idx="0">
                  <c:v>0</c:v>
                </c:pt>
                <c:pt idx="1">
                  <c:v>2.4</c:v>
                </c:pt>
                <c:pt idx="2">
                  <c:v>3.5999999999999996</c:v>
                </c:pt>
                <c:pt idx="3">
                  <c:v>7.1999999999999993</c:v>
                </c:pt>
                <c:pt idx="4">
                  <c:v>8.4</c:v>
                </c:pt>
                <c:pt idx="5">
                  <c:v>12</c:v>
                </c:pt>
              </c:numCache>
            </c:numRef>
          </c:xVal>
          <c:yVal>
            <c:numRef>
              <c:f>'Performance Standards'!$AB$286:$AH$286</c:f>
              <c:numCache>
                <c:formatCode>General</c:formatCode>
                <c:ptCount val="7"/>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1-78A0-4F6D-9C6B-FDE1FA9E0BE5}"/>
            </c:ext>
          </c:extLst>
        </c:ser>
        <c:ser>
          <c:idx val="2"/>
          <c:order val="2"/>
          <c:tx>
            <c:strRef>
              <c:f>'Performance Standards'!$AD$255</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3.3540819485377099E-2"/>
                  <c:y val="8.7135095117232865E-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Standards'!$AB$285:$AH$285</c:f>
              <c:numCache>
                <c:formatCode>General</c:formatCode>
                <c:ptCount val="7"/>
                <c:pt idx="0">
                  <c:v>0</c:v>
                </c:pt>
                <c:pt idx="1">
                  <c:v>2.8000000000000003</c:v>
                </c:pt>
                <c:pt idx="2">
                  <c:v>4.2</c:v>
                </c:pt>
                <c:pt idx="3">
                  <c:v>8.4</c:v>
                </c:pt>
                <c:pt idx="4">
                  <c:v>9.8000000000000007</c:v>
                </c:pt>
                <c:pt idx="5">
                  <c:v>14.000000000000002</c:v>
                </c:pt>
              </c:numCache>
            </c:numRef>
          </c:xVal>
          <c:yVal>
            <c:numRef>
              <c:f>'Performance Standards'!$AB$286:$AH$286</c:f>
              <c:numCache>
                <c:formatCode>General</c:formatCode>
                <c:ptCount val="7"/>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2-78A0-4F6D-9C6B-FDE1FA9E0BE5}"/>
            </c:ext>
          </c:extLst>
        </c:ser>
        <c:dLbls>
          <c:showLegendKey val="0"/>
          <c:showVal val="0"/>
          <c:showCatName val="0"/>
          <c:showSerName val="0"/>
          <c:showPercent val="0"/>
          <c:showBubbleSize val="0"/>
        </c:dLbls>
        <c:axId val="448606704"/>
        <c:axId val="448607264"/>
      </c:scatterChart>
      <c:valAx>
        <c:axId val="448606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07264"/>
        <c:crosses val="autoZero"/>
        <c:crossBetween val="midCat"/>
      </c:valAx>
      <c:valAx>
        <c:axId val="4486072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0670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Piedemont &amp; DA 0-5 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Standards'!$AB$289</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3.5962377625615112E-2"/>
                  <c:y val="0.3107592269062229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Standards'!$AB$283:$AG$283</c:f>
              <c:numCache>
                <c:formatCode>General</c:formatCode>
                <c:ptCount val="6"/>
                <c:pt idx="0">
                  <c:v>0</c:v>
                </c:pt>
                <c:pt idx="1">
                  <c:v>3.5999999999999996</c:v>
                </c:pt>
                <c:pt idx="2">
                  <c:v>5.4</c:v>
                </c:pt>
                <c:pt idx="3">
                  <c:v>10.8</c:v>
                </c:pt>
                <c:pt idx="4">
                  <c:v>12.6</c:v>
                </c:pt>
                <c:pt idx="5">
                  <c:v>18</c:v>
                </c:pt>
              </c:numCache>
            </c:numRef>
          </c:xVal>
          <c:yVal>
            <c:numRef>
              <c:f>'Performance Standards'!$AB$286:$AG$286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EA27-4023-B7F5-66C35F44F46B}"/>
            </c:ext>
          </c:extLst>
        </c:ser>
        <c:ser>
          <c:idx val="1"/>
          <c:order val="1"/>
          <c:tx>
            <c:strRef>
              <c:f>'Performance Standards'!$AC$289</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2456608687238656E-2"/>
                  <c:y val="0.1024640881296709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Standards'!$AB$284:$AG$284</c:f>
              <c:numCache>
                <c:formatCode>0.0</c:formatCode>
                <c:ptCount val="6"/>
                <c:pt idx="0">
                  <c:v>0</c:v>
                </c:pt>
                <c:pt idx="1">
                  <c:v>2.4</c:v>
                </c:pt>
                <c:pt idx="2">
                  <c:v>3.5999999999999996</c:v>
                </c:pt>
                <c:pt idx="3">
                  <c:v>7.1999999999999993</c:v>
                </c:pt>
                <c:pt idx="4">
                  <c:v>8.4</c:v>
                </c:pt>
                <c:pt idx="5">
                  <c:v>12</c:v>
                </c:pt>
              </c:numCache>
            </c:numRef>
          </c:xVal>
          <c:yVal>
            <c:numRef>
              <c:f>'Performance Standards'!$AB$286:$AG$286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EA27-4023-B7F5-66C35F44F46B}"/>
            </c:ext>
          </c:extLst>
        </c:ser>
        <c:ser>
          <c:idx val="2"/>
          <c:order val="2"/>
          <c:tx>
            <c:strRef>
              <c:f>'Performance Standards'!$AD$289</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6.4412470559121485E-2"/>
                  <c:y val="2.8276778428433288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Standards'!$AB$285:$AG$285</c:f>
              <c:numCache>
                <c:formatCode>General</c:formatCode>
                <c:ptCount val="6"/>
                <c:pt idx="0">
                  <c:v>0</c:v>
                </c:pt>
                <c:pt idx="1">
                  <c:v>2.8000000000000003</c:v>
                </c:pt>
                <c:pt idx="2">
                  <c:v>4.2</c:v>
                </c:pt>
                <c:pt idx="3">
                  <c:v>8.4</c:v>
                </c:pt>
                <c:pt idx="4">
                  <c:v>9.8000000000000007</c:v>
                </c:pt>
                <c:pt idx="5">
                  <c:v>14.000000000000002</c:v>
                </c:pt>
              </c:numCache>
            </c:numRef>
          </c:xVal>
          <c:yVal>
            <c:numRef>
              <c:f>'Performance Standards'!$AB$286:$AG$286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EA27-4023-B7F5-66C35F44F46B}"/>
            </c:ext>
          </c:extLst>
        </c:ser>
        <c:dLbls>
          <c:showLegendKey val="0"/>
          <c:showVal val="0"/>
          <c:showCatName val="0"/>
          <c:showSerName val="0"/>
          <c:showPercent val="0"/>
          <c:showBubbleSize val="0"/>
        </c:dLbls>
        <c:axId val="448611184"/>
        <c:axId val="448611744"/>
      </c:scatterChart>
      <c:valAx>
        <c:axId val="4486111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11744"/>
        <c:crosses val="autoZero"/>
        <c:crossBetween val="midCat"/>
      </c:valAx>
      <c:valAx>
        <c:axId val="44861174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111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Piedmont &amp; 5 &lt; DA &lt;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Standards'!$AB$325</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9520541734405059E-2"/>
                  <c:y val="0.12044973396102446"/>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Standards'!$AB$319:$AG$319</c:f>
              <c:numCache>
                <c:formatCode>0.0</c:formatCode>
                <c:ptCount val="6"/>
                <c:pt idx="0">
                  <c:v>0</c:v>
                </c:pt>
                <c:pt idx="1">
                  <c:v>2.4</c:v>
                </c:pt>
                <c:pt idx="2">
                  <c:v>3.5999999999999996</c:v>
                </c:pt>
                <c:pt idx="3">
                  <c:v>7.1999999999999993</c:v>
                </c:pt>
                <c:pt idx="4">
                  <c:v>8.4</c:v>
                </c:pt>
                <c:pt idx="5">
                  <c:v>12</c:v>
                </c:pt>
              </c:numCache>
            </c:numRef>
          </c:xVal>
          <c:yVal>
            <c:numRef>
              <c:f>'Performance Standards'!$AB$322:$AG$322</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F2AB-4468-821D-6CCCA4BEBFC9}"/>
            </c:ext>
          </c:extLst>
        </c:ser>
        <c:ser>
          <c:idx val="1"/>
          <c:order val="1"/>
          <c:tx>
            <c:strRef>
              <c:f>'Performance Standards'!$AC$325</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3.1710141233825241E-2"/>
                  <c:y val="5.5113754486865424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Standards'!$AB$320:$AG$320</c:f>
              <c:numCache>
                <c:formatCode>0.0</c:formatCode>
                <c:ptCount val="6"/>
                <c:pt idx="0">
                  <c:v>0</c:v>
                </c:pt>
                <c:pt idx="1">
                  <c:v>1</c:v>
                </c:pt>
                <c:pt idx="2">
                  <c:v>1.5</c:v>
                </c:pt>
                <c:pt idx="3">
                  <c:v>3</c:v>
                </c:pt>
                <c:pt idx="4">
                  <c:v>3.5000000000000004</c:v>
                </c:pt>
                <c:pt idx="5">
                  <c:v>5</c:v>
                </c:pt>
              </c:numCache>
            </c:numRef>
          </c:xVal>
          <c:yVal>
            <c:numRef>
              <c:f>'Performance Standards'!$AB$322:$AG$322</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F2AB-4468-821D-6CCCA4BEBFC9}"/>
            </c:ext>
          </c:extLst>
        </c:ser>
        <c:ser>
          <c:idx val="2"/>
          <c:order val="2"/>
          <c:tx>
            <c:strRef>
              <c:f>'Performance Standards'!$AD$325</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3.2237387049134772E-2"/>
                  <c:y val="6.1268277600976584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Standards'!$AB$321:$AG$321</c:f>
              <c:numCache>
                <c:formatCode>0.0</c:formatCode>
                <c:ptCount val="6"/>
                <c:pt idx="0">
                  <c:v>0</c:v>
                </c:pt>
                <c:pt idx="1">
                  <c:v>1.6</c:v>
                </c:pt>
                <c:pt idx="2">
                  <c:v>2.4</c:v>
                </c:pt>
                <c:pt idx="3">
                  <c:v>4.8</c:v>
                </c:pt>
                <c:pt idx="4">
                  <c:v>5.6000000000000005</c:v>
                </c:pt>
                <c:pt idx="5">
                  <c:v>8</c:v>
                </c:pt>
              </c:numCache>
            </c:numRef>
          </c:xVal>
          <c:yVal>
            <c:numRef>
              <c:f>'Performance Standards'!$AB$322:$AG$322</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F2AB-4468-821D-6CCCA4BEBFC9}"/>
            </c:ext>
          </c:extLst>
        </c:ser>
        <c:dLbls>
          <c:showLegendKey val="0"/>
          <c:showVal val="0"/>
          <c:showCatName val="0"/>
          <c:showSerName val="0"/>
          <c:showPercent val="0"/>
          <c:showBubbleSize val="0"/>
        </c:dLbls>
        <c:axId val="448615664"/>
        <c:axId val="448616224"/>
      </c:scatterChart>
      <c:valAx>
        <c:axId val="44861566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16224"/>
        <c:crosses val="autoZero"/>
        <c:crossBetween val="midCat"/>
      </c:valAx>
      <c:valAx>
        <c:axId val="4486162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15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Piedmont &amp; DA &gt;=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Standards'!$AB$359</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3674822821824627E-2"/>
                  <c:y val="0.2776736786373392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Standards'!$AB$353:$AG$353</c:f>
              <c:numCache>
                <c:formatCode>0.0</c:formatCode>
                <c:ptCount val="6"/>
                <c:pt idx="0">
                  <c:v>0</c:v>
                </c:pt>
                <c:pt idx="1">
                  <c:v>1.6</c:v>
                </c:pt>
                <c:pt idx="2">
                  <c:v>2.4</c:v>
                </c:pt>
                <c:pt idx="3">
                  <c:v>4.8</c:v>
                </c:pt>
                <c:pt idx="4">
                  <c:v>5.6000000000000005</c:v>
                </c:pt>
                <c:pt idx="5">
                  <c:v>8</c:v>
                </c:pt>
              </c:numCache>
            </c:numRef>
          </c:xVal>
          <c:yVal>
            <c:numRef>
              <c:f>'Performance Standards'!$AB$356:$AG$356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943D-4844-BBFE-6B923BF7EC4E}"/>
            </c:ext>
          </c:extLst>
        </c:ser>
        <c:ser>
          <c:idx val="1"/>
          <c:order val="1"/>
          <c:tx>
            <c:strRef>
              <c:f>'Performance Standards'!$AC$359</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8757518901838167E-2"/>
                  <c:y val="3.4342091512149495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Standards'!$AB$354:$AG$354</c:f>
              <c:numCache>
                <c:formatCode>0.0</c:formatCode>
                <c:ptCount val="6"/>
                <c:pt idx="0">
                  <c:v>0</c:v>
                </c:pt>
                <c:pt idx="1">
                  <c:v>1.4000000000000001</c:v>
                </c:pt>
                <c:pt idx="2">
                  <c:v>2.1</c:v>
                </c:pt>
                <c:pt idx="3">
                  <c:v>4.2</c:v>
                </c:pt>
                <c:pt idx="4">
                  <c:v>4.9000000000000004</c:v>
                </c:pt>
                <c:pt idx="5">
                  <c:v>7.0000000000000009</c:v>
                </c:pt>
              </c:numCache>
            </c:numRef>
          </c:xVal>
          <c:yVal>
            <c:numRef>
              <c:f>'Performance Standards'!$AB$356:$AG$356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943D-4844-BBFE-6B923BF7EC4E}"/>
            </c:ext>
          </c:extLst>
        </c:ser>
        <c:ser>
          <c:idx val="2"/>
          <c:order val="2"/>
          <c:tx>
            <c:strRef>
              <c:f>'Performance Standards'!$AD$359</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4.6399617153402975E-2"/>
                  <c:y val="0.19028498939779301"/>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Standards'!$AB$355:$AG$355</c:f>
              <c:numCache>
                <c:formatCode>0.0</c:formatCode>
                <c:ptCount val="6"/>
                <c:pt idx="0">
                  <c:v>0</c:v>
                </c:pt>
                <c:pt idx="1">
                  <c:v>1.6</c:v>
                </c:pt>
                <c:pt idx="2">
                  <c:v>2.4</c:v>
                </c:pt>
                <c:pt idx="3">
                  <c:v>4.8</c:v>
                </c:pt>
                <c:pt idx="4">
                  <c:v>5.6000000000000005</c:v>
                </c:pt>
                <c:pt idx="5">
                  <c:v>8</c:v>
                </c:pt>
              </c:numCache>
            </c:numRef>
          </c:xVal>
          <c:yVal>
            <c:numRef>
              <c:f>'Performance Standards'!$AB$356:$AG$356</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943D-4844-BBFE-6B923BF7EC4E}"/>
            </c:ext>
          </c:extLst>
        </c:ser>
        <c:dLbls>
          <c:showLegendKey val="0"/>
          <c:showVal val="0"/>
          <c:showCatName val="0"/>
          <c:showSerName val="0"/>
          <c:showPercent val="0"/>
          <c:showBubbleSize val="0"/>
        </c:dLbls>
        <c:axId val="448620144"/>
        <c:axId val="448620704"/>
      </c:scatterChart>
      <c:valAx>
        <c:axId val="44862014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0704"/>
        <c:crosses val="autoZero"/>
        <c:crossBetween val="midCat"/>
      </c:valAx>
      <c:valAx>
        <c:axId val="448620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014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Spacing Ratio for streams with slope &gt;= 4%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2362416101487997"/>
                  <c:y val="-8.9289895697862595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Standards'!$S$353:$W$353</c:f>
              <c:numCache>
                <c:formatCode>General</c:formatCode>
                <c:ptCount val="5"/>
                <c:pt idx="2">
                  <c:v>8</c:v>
                </c:pt>
                <c:pt idx="4">
                  <c:v>5.01</c:v>
                </c:pt>
              </c:numCache>
            </c:numRef>
          </c:xVal>
          <c:yVal>
            <c:numRef>
              <c:f>'Performance Standards'!$S$354:$W$354</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1-2D8B-439A-A86A-F9817A30EAA5}"/>
            </c:ext>
          </c:extLst>
        </c:ser>
        <c:ser>
          <c:idx val="2"/>
          <c:order val="1"/>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tx1"/>
                </a:solidFill>
                <a:prstDash val="sysDot"/>
              </a:ln>
              <a:effectLst/>
            </c:spPr>
            <c:trendlineType val="linear"/>
            <c:dispRSqr val="0"/>
            <c:dispEq val="0"/>
          </c:trendline>
          <c:xVal>
            <c:numRef>
              <c:f>'Performance Standards'!$W$353:$X$353</c:f>
              <c:numCache>
                <c:formatCode>General</c:formatCode>
                <c:ptCount val="2"/>
                <c:pt idx="0">
                  <c:v>5.01</c:v>
                </c:pt>
                <c:pt idx="1">
                  <c:v>5</c:v>
                </c:pt>
              </c:numCache>
            </c:numRef>
          </c:xVal>
          <c:yVal>
            <c:numRef>
              <c:f>'Performance Standards'!$W$354:$X$354</c:f>
              <c:numCache>
                <c:formatCode>General</c:formatCode>
                <c:ptCount val="2"/>
                <c:pt idx="0">
                  <c:v>0.7</c:v>
                </c:pt>
                <c:pt idx="1">
                  <c:v>1</c:v>
                </c:pt>
              </c:numCache>
            </c:numRef>
          </c:yVal>
          <c:smooth val="0"/>
          <c:extLst xmlns:c16r2="http://schemas.microsoft.com/office/drawing/2015/06/chart">
            <c:ext xmlns:c16="http://schemas.microsoft.com/office/drawing/2014/chart" uri="{C3380CC4-5D6E-409C-BE32-E72D297353CC}">
              <c16:uniqueId val="{00000000-CAFC-459B-BA6F-B42825833F05}"/>
            </c:ext>
          </c:extLst>
        </c:ser>
        <c:ser>
          <c:idx val="0"/>
          <c:order val="2"/>
          <c:spPr>
            <a:ln w="25400" cap="rnd">
              <a:noFill/>
              <a:round/>
            </a:ln>
            <a:effectLst/>
          </c:spPr>
          <c:marker>
            <c:symbol val="circle"/>
            <c:size val="5"/>
            <c:spPr>
              <a:solidFill>
                <a:schemeClr val="accent1"/>
              </a:solidFill>
              <a:ln w="9525">
                <a:solidFill>
                  <a:schemeClr val="accent1"/>
                </a:solidFill>
              </a:ln>
              <a:effectLst/>
            </c:spPr>
          </c:marker>
          <c:trendline>
            <c:spPr>
              <a:ln w="25400" cap="rnd">
                <a:solidFill>
                  <a:schemeClr val="tx1"/>
                </a:solidFill>
                <a:prstDash val="sysDot"/>
              </a:ln>
              <a:effectLst/>
            </c:spPr>
            <c:trendlineType val="linear"/>
            <c:dispRSqr val="0"/>
            <c:dispEq val="0"/>
          </c:trendline>
          <c:xVal>
            <c:numRef>
              <c:f>'Performance Standards'!$X$353:$Y$353</c:f>
              <c:numCache>
                <c:formatCode>General</c:formatCode>
                <c:ptCount val="2"/>
                <c:pt idx="0">
                  <c:v>5</c:v>
                </c:pt>
                <c:pt idx="1">
                  <c:v>0.1</c:v>
                </c:pt>
              </c:numCache>
            </c:numRef>
          </c:xVal>
          <c:yVal>
            <c:numRef>
              <c:f>'Performance Standards'!$X$354:$Y$354</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BE28-463C-9C48-4A55EAF8BF3E}"/>
            </c:ext>
          </c:extLst>
        </c:ser>
        <c:ser>
          <c:idx val="3"/>
          <c:order val="3"/>
          <c:spPr>
            <a:ln w="31750" cap="rnd">
              <a:solidFill>
                <a:srgbClr val="FF0000"/>
              </a:solidFill>
              <a:round/>
            </a:ln>
            <a:effectLst/>
          </c:spPr>
          <c:marker>
            <c:symbol val="none"/>
          </c:marker>
          <c:xVal>
            <c:numLit>
              <c:formatCode>General</c:formatCode>
              <c:ptCount val="2"/>
              <c:pt idx="0">
                <c:v>0</c:v>
              </c:pt>
              <c:pt idx="1">
                <c:v>0.1</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3-71FE-4D25-873F-D8AAAD4929C7}"/>
            </c:ext>
          </c:extLst>
        </c:ser>
        <c:ser>
          <c:idx val="4"/>
          <c:order val="4"/>
          <c:spPr>
            <a:ln w="31750" cap="rnd">
              <a:solidFill>
                <a:srgbClr val="FF0000"/>
              </a:solidFill>
              <a:round/>
            </a:ln>
            <a:effectLst/>
          </c:spPr>
          <c:marker>
            <c:symbol val="none"/>
          </c:marker>
          <c:xVal>
            <c:numLit>
              <c:formatCode>General</c:formatCode>
              <c:ptCount val="2"/>
              <c:pt idx="0">
                <c:v>8</c:v>
              </c:pt>
              <c:pt idx="1">
                <c:v>10</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4-71FE-4D25-873F-D8AAAD4929C7}"/>
            </c:ext>
          </c:extLst>
        </c:ser>
        <c:dLbls>
          <c:showLegendKey val="0"/>
          <c:showVal val="0"/>
          <c:showCatName val="0"/>
          <c:showSerName val="0"/>
          <c:showPercent val="0"/>
          <c:showBubbleSize val="0"/>
        </c:dLbls>
        <c:axId val="444053200"/>
        <c:axId val="444053760"/>
      </c:scatterChart>
      <c:valAx>
        <c:axId val="444053200"/>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53760"/>
        <c:crosses val="autoZero"/>
        <c:crossBetween val="midCat"/>
      </c:valAx>
      <c:valAx>
        <c:axId val="44405376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532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Coastal &amp; DA 0-5 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Standards'!$AB$391</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1.4373442476634239E-2"/>
                  <c:y val="0.2615388550098635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Standards'!$AB$385:$AG$385</c:f>
              <c:numCache>
                <c:formatCode>General</c:formatCode>
                <c:ptCount val="6"/>
                <c:pt idx="0">
                  <c:v>0</c:v>
                </c:pt>
                <c:pt idx="1">
                  <c:v>6.6000000000000005</c:v>
                </c:pt>
                <c:pt idx="2">
                  <c:v>9.9</c:v>
                </c:pt>
                <c:pt idx="3">
                  <c:v>19.8</c:v>
                </c:pt>
                <c:pt idx="4">
                  <c:v>23.1</c:v>
                </c:pt>
                <c:pt idx="5">
                  <c:v>33</c:v>
                </c:pt>
              </c:numCache>
            </c:numRef>
          </c:xVal>
          <c:yVal>
            <c:numRef>
              <c:f>'Performance Standards'!$AB$388:$AG$388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BB78-4E06-BDC0-827238EE1C9F}"/>
            </c:ext>
          </c:extLst>
        </c:ser>
        <c:ser>
          <c:idx val="1"/>
          <c:order val="1"/>
          <c:tx>
            <c:strRef>
              <c:f>'Performance Standards'!$AC$391</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6.1206630754652713E-2"/>
                  <c:y val="3.4886115710130658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Standards'!$AB$386:$AG$386</c:f>
              <c:numCache>
                <c:formatCode>0.0</c:formatCode>
                <c:ptCount val="6"/>
                <c:pt idx="0">
                  <c:v>0</c:v>
                </c:pt>
                <c:pt idx="1">
                  <c:v>2.8000000000000003</c:v>
                </c:pt>
                <c:pt idx="2">
                  <c:v>4.2</c:v>
                </c:pt>
                <c:pt idx="3">
                  <c:v>8.4</c:v>
                </c:pt>
                <c:pt idx="4">
                  <c:v>9.8000000000000007</c:v>
                </c:pt>
                <c:pt idx="5">
                  <c:v>14.000000000000002</c:v>
                </c:pt>
              </c:numCache>
            </c:numRef>
          </c:xVal>
          <c:yVal>
            <c:numRef>
              <c:f>'Performance Standards'!$AB$388:$AG$388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BB78-4E06-BDC0-827238EE1C9F}"/>
            </c:ext>
          </c:extLst>
        </c:ser>
        <c:ser>
          <c:idx val="2"/>
          <c:order val="2"/>
          <c:tx>
            <c:strRef>
              <c:f>'Performance Standards'!$AD$391</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8.7565640047975957E-2"/>
                  <c:y val="3.2034677392753681E-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Standards'!$AB$387:$AG$387</c:f>
              <c:numCache>
                <c:formatCode>General</c:formatCode>
                <c:ptCount val="6"/>
                <c:pt idx="0">
                  <c:v>0</c:v>
                </c:pt>
                <c:pt idx="1">
                  <c:v>5</c:v>
                </c:pt>
                <c:pt idx="2">
                  <c:v>7.5</c:v>
                </c:pt>
                <c:pt idx="3">
                  <c:v>15</c:v>
                </c:pt>
                <c:pt idx="4">
                  <c:v>17.5</c:v>
                </c:pt>
                <c:pt idx="5">
                  <c:v>25</c:v>
                </c:pt>
              </c:numCache>
            </c:numRef>
          </c:xVal>
          <c:yVal>
            <c:numRef>
              <c:f>'Performance Standards'!$AB$388:$AG$388</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BB78-4E06-BDC0-827238EE1C9F}"/>
            </c:ext>
          </c:extLst>
        </c:ser>
        <c:dLbls>
          <c:showLegendKey val="0"/>
          <c:showVal val="0"/>
          <c:showCatName val="0"/>
          <c:showSerName val="0"/>
          <c:showPercent val="0"/>
          <c:showBubbleSize val="0"/>
        </c:dLbls>
        <c:axId val="448624624"/>
        <c:axId val="448625184"/>
      </c:scatterChart>
      <c:valAx>
        <c:axId val="448624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5184"/>
        <c:crosses val="autoZero"/>
        <c:crossBetween val="midCat"/>
      </c:valAx>
      <c:valAx>
        <c:axId val="44862518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462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Coastal &amp; 5 &lt; DA &lt;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Standards'!$AB$423</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5.5034286386277144E-2"/>
                  <c:y val="9.9680856030137599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Standards'!$AB$417:$AG$417</c:f>
              <c:numCache>
                <c:formatCode>0.0</c:formatCode>
                <c:ptCount val="6"/>
                <c:pt idx="0">
                  <c:v>0</c:v>
                </c:pt>
                <c:pt idx="1">
                  <c:v>4</c:v>
                </c:pt>
                <c:pt idx="2">
                  <c:v>6</c:v>
                </c:pt>
                <c:pt idx="3">
                  <c:v>12</c:v>
                </c:pt>
                <c:pt idx="4">
                  <c:v>14.000000000000002</c:v>
                </c:pt>
                <c:pt idx="5">
                  <c:v>20</c:v>
                </c:pt>
              </c:numCache>
            </c:numRef>
          </c:xVal>
          <c:yVal>
            <c:numRef>
              <c:f>'Performance Standards'!$AB$420:$AG$420</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C7D5-40CC-907B-3BAF421497DA}"/>
            </c:ext>
          </c:extLst>
        </c:ser>
        <c:ser>
          <c:idx val="1"/>
          <c:order val="1"/>
          <c:tx>
            <c:strRef>
              <c:f>'Performance Standards'!$AC$423</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6816022252139746E-2"/>
                  <c:y val="7.57261963537047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Standards'!$AB$418:$AG$418</c:f>
              <c:numCache>
                <c:formatCode>0.0</c:formatCode>
                <c:ptCount val="6"/>
                <c:pt idx="0">
                  <c:v>0</c:v>
                </c:pt>
                <c:pt idx="1">
                  <c:v>2.6</c:v>
                </c:pt>
                <c:pt idx="2">
                  <c:v>3.9</c:v>
                </c:pt>
                <c:pt idx="3">
                  <c:v>7.8</c:v>
                </c:pt>
                <c:pt idx="4">
                  <c:v>9.1</c:v>
                </c:pt>
                <c:pt idx="5">
                  <c:v>13</c:v>
                </c:pt>
              </c:numCache>
            </c:numRef>
          </c:xVal>
          <c:yVal>
            <c:numRef>
              <c:f>'Performance Standards'!$AB$420:$AG$420</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C7D5-40CC-907B-3BAF421497DA}"/>
            </c:ext>
          </c:extLst>
        </c:ser>
        <c:ser>
          <c:idx val="2"/>
          <c:order val="2"/>
          <c:tx>
            <c:strRef>
              <c:f>'Performance Standards'!$AD$423</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4.8789971720687407E-2"/>
                  <c:y val="9.2512396065300637E-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Standards'!$AB$419:$AG$419</c:f>
              <c:numCache>
                <c:formatCode>0.0</c:formatCode>
                <c:ptCount val="6"/>
                <c:pt idx="0">
                  <c:v>0</c:v>
                </c:pt>
                <c:pt idx="1">
                  <c:v>2.4</c:v>
                </c:pt>
                <c:pt idx="2">
                  <c:v>3.5999999999999996</c:v>
                </c:pt>
                <c:pt idx="3">
                  <c:v>7.1999999999999993</c:v>
                </c:pt>
                <c:pt idx="4">
                  <c:v>8.4</c:v>
                </c:pt>
                <c:pt idx="5">
                  <c:v>12</c:v>
                </c:pt>
              </c:numCache>
            </c:numRef>
          </c:xVal>
          <c:yVal>
            <c:numRef>
              <c:f>'Performance Standards'!$AB$420:$AG$420</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C7D5-40CC-907B-3BAF421497DA}"/>
            </c:ext>
          </c:extLst>
        </c:ser>
        <c:dLbls>
          <c:showLegendKey val="0"/>
          <c:showVal val="0"/>
          <c:showCatName val="0"/>
          <c:showSerName val="0"/>
          <c:showPercent val="0"/>
          <c:showBubbleSize val="0"/>
        </c:dLbls>
        <c:axId val="448629104"/>
        <c:axId val="448629664"/>
      </c:scatterChart>
      <c:valAx>
        <c:axId val="44862910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9664"/>
        <c:crosses val="autoZero"/>
        <c:crossBetween val="midCat"/>
      </c:valAx>
      <c:valAx>
        <c:axId val="4486296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862910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Shredders - Coastal &amp; DA &gt;= 10</a:t>
            </a:r>
            <a:r>
              <a:rPr lang="en-US" baseline="0"/>
              <a:t> </a:t>
            </a:r>
            <a:r>
              <a:rPr lang="en-US"/>
              <a:t>Sq Mi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Standards'!$AB$457</c:f>
              <c:strCache>
                <c:ptCount val="1"/>
                <c:pt idx="0">
                  <c:v>Winter/Spring</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9077129959617954E-2"/>
                  <c:y val="0.34244579711092649"/>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Standards'!$AB$451:$AG$451</c:f>
              <c:numCache>
                <c:formatCode>0.0</c:formatCode>
                <c:ptCount val="6"/>
                <c:pt idx="0">
                  <c:v>0</c:v>
                </c:pt>
                <c:pt idx="1">
                  <c:v>3.4000000000000004</c:v>
                </c:pt>
                <c:pt idx="2">
                  <c:v>5.0999999999999996</c:v>
                </c:pt>
                <c:pt idx="3">
                  <c:v>10.199999999999999</c:v>
                </c:pt>
                <c:pt idx="4">
                  <c:v>11.899999999999999</c:v>
                </c:pt>
                <c:pt idx="5">
                  <c:v>17</c:v>
                </c:pt>
              </c:numCache>
            </c:numRef>
          </c:xVal>
          <c:yVal>
            <c:numRef>
              <c:f>'Performance Standards'!$AB$454:$AG$454</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3-103E-41F5-B9BD-E4456F6C681E}"/>
            </c:ext>
          </c:extLst>
        </c:ser>
        <c:ser>
          <c:idx val="1"/>
          <c:order val="1"/>
          <c:tx>
            <c:strRef>
              <c:f>'Performance Standards'!$AC$457</c:f>
              <c:strCache>
                <c:ptCount val="1"/>
                <c:pt idx="0">
                  <c:v>Summer</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8.4242215654693128E-2"/>
                  <c:y val="5.2432996170097591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Standards'!$AB$452:$AG$452</c:f>
              <c:numCache>
                <c:formatCode>0.0</c:formatCode>
                <c:ptCount val="6"/>
                <c:pt idx="0">
                  <c:v>0</c:v>
                </c:pt>
                <c:pt idx="1">
                  <c:v>3.2</c:v>
                </c:pt>
                <c:pt idx="2">
                  <c:v>4.8</c:v>
                </c:pt>
                <c:pt idx="3">
                  <c:v>9.6</c:v>
                </c:pt>
                <c:pt idx="4">
                  <c:v>11.200000000000001</c:v>
                </c:pt>
                <c:pt idx="5">
                  <c:v>16</c:v>
                </c:pt>
              </c:numCache>
            </c:numRef>
          </c:xVal>
          <c:yVal>
            <c:numRef>
              <c:f>'Performance Standards'!$AB$454:$AG$454</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4-103E-41F5-B9BD-E4456F6C681E}"/>
            </c:ext>
          </c:extLst>
        </c:ser>
        <c:ser>
          <c:idx val="2"/>
          <c:order val="2"/>
          <c:tx>
            <c:strRef>
              <c:f>'Performance Standards'!$AD$457</c:f>
              <c:strCache>
                <c:ptCount val="1"/>
                <c:pt idx="0">
                  <c:v>Fall</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linear"/>
            <c:dispRSqr val="0"/>
            <c:dispEq val="1"/>
            <c:trendlineLbl>
              <c:layout>
                <c:manualLayout>
                  <c:x val="-4.4260070958061601E-2"/>
                  <c:y val="1.288579604180274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Standards'!$AB$453:$AG$453</c:f>
              <c:numCache>
                <c:formatCode>0.0</c:formatCode>
                <c:ptCount val="6"/>
                <c:pt idx="0">
                  <c:v>0</c:v>
                </c:pt>
                <c:pt idx="1">
                  <c:v>1.6</c:v>
                </c:pt>
                <c:pt idx="2">
                  <c:v>2.4</c:v>
                </c:pt>
                <c:pt idx="3">
                  <c:v>4.8</c:v>
                </c:pt>
                <c:pt idx="4">
                  <c:v>5.6000000000000005</c:v>
                </c:pt>
                <c:pt idx="5">
                  <c:v>8</c:v>
                </c:pt>
              </c:numCache>
            </c:numRef>
          </c:xVal>
          <c:yVal>
            <c:numRef>
              <c:f>'Performance Standards'!$AB$454:$AG$454</c:f>
              <c:numCache>
                <c:formatCode>General</c:formatCode>
                <c:ptCount val="6"/>
                <c:pt idx="0">
                  <c:v>0</c:v>
                </c:pt>
                <c:pt idx="1">
                  <c:v>0.2</c:v>
                </c:pt>
                <c:pt idx="2">
                  <c:v>0.3</c:v>
                </c:pt>
                <c:pt idx="3">
                  <c:v>0.6</c:v>
                </c:pt>
                <c:pt idx="4">
                  <c:v>0.7</c:v>
                </c:pt>
                <c:pt idx="5">
                  <c:v>1</c:v>
                </c:pt>
              </c:numCache>
            </c:numRef>
          </c:yVal>
          <c:smooth val="0"/>
          <c:extLst xmlns:c16r2="http://schemas.microsoft.com/office/drawing/2015/06/chart">
            <c:ext xmlns:c16="http://schemas.microsoft.com/office/drawing/2014/chart" uri="{C3380CC4-5D6E-409C-BE32-E72D297353CC}">
              <c16:uniqueId val="{00000005-103E-41F5-B9BD-E4456F6C681E}"/>
            </c:ext>
          </c:extLst>
        </c:ser>
        <c:dLbls>
          <c:showLegendKey val="0"/>
          <c:showVal val="0"/>
          <c:showCatName val="0"/>
          <c:showSerName val="0"/>
          <c:showPercent val="0"/>
          <c:showBubbleSize val="0"/>
        </c:dLbls>
        <c:axId val="449297472"/>
        <c:axId val="449298032"/>
      </c:scatterChart>
      <c:valAx>
        <c:axId val="44929747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298032"/>
        <c:crosses val="autoZero"/>
        <c:crossBetween val="midCat"/>
      </c:valAx>
      <c:valAx>
        <c:axId val="44929803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2974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Curve Number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5056900541949617"/>
                  <c:y val="-0.39549171559544272"/>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Standards'!$C$10:$H$10</c:f>
              <c:numCache>
                <c:formatCode>General</c:formatCode>
                <c:ptCount val="6"/>
                <c:pt idx="0" formatCode="0.00">
                  <c:v>78.449629999999999</c:v>
                </c:pt>
                <c:pt idx="2">
                  <c:v>70</c:v>
                </c:pt>
                <c:pt idx="4">
                  <c:v>55</c:v>
                </c:pt>
                <c:pt idx="5" formatCode="0">
                  <c:v>30</c:v>
                </c:pt>
              </c:numCache>
            </c:numRef>
          </c:xVal>
          <c:yVal>
            <c:numRef>
              <c:f>'Performance Standards'!$C$11:$H$11</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7AC5-45EF-9405-04BE8E1983D1}"/>
            </c:ext>
          </c:extLst>
        </c:ser>
        <c:dLbls>
          <c:showLegendKey val="0"/>
          <c:showVal val="0"/>
          <c:showCatName val="0"/>
          <c:showSerName val="0"/>
          <c:showPercent val="0"/>
          <c:showBubbleSize val="0"/>
        </c:dLbls>
        <c:axId val="449300832"/>
        <c:axId val="449301392"/>
      </c:scatterChart>
      <c:valAx>
        <c:axId val="44930083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1392"/>
        <c:crosses val="autoZero"/>
        <c:crossBetween val="midCat"/>
      </c:valAx>
      <c:valAx>
        <c:axId val="44930139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08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Concentrated</a:t>
            </a:r>
            <a:r>
              <a:rPr lang="en-US" baseline="0"/>
              <a:t> Flow Points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6.2624848054080876E-2"/>
                  <c:y val="-0.2834768531218666"/>
                </c:manualLayout>
              </c:layout>
              <c:numFmt formatCode="#,##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Standards'!$E$44:$F$44</c:f>
              <c:numCache>
                <c:formatCode>General</c:formatCode>
                <c:ptCount val="2"/>
                <c:pt idx="0">
                  <c:v>3</c:v>
                </c:pt>
                <c:pt idx="1">
                  <c:v>1</c:v>
                </c:pt>
              </c:numCache>
            </c:numRef>
          </c:xVal>
          <c:yVal>
            <c:numRef>
              <c:f>'Performance Standards'!$E$45:$F$45</c:f>
              <c:numCache>
                <c:formatCode>General</c:formatCode>
                <c:ptCount val="2"/>
                <c:pt idx="0">
                  <c:v>0.3</c:v>
                </c:pt>
                <c:pt idx="1">
                  <c:v>0.69</c:v>
                </c:pt>
              </c:numCache>
            </c:numRef>
          </c:yVal>
          <c:smooth val="0"/>
          <c:extLst xmlns:c16r2="http://schemas.microsoft.com/office/drawing/2015/06/chart">
            <c:ext xmlns:c16="http://schemas.microsoft.com/office/drawing/2014/chart" uri="{C3380CC4-5D6E-409C-BE32-E72D297353CC}">
              <c16:uniqueId val="{00000001-497F-464D-9884-5EC6C306E1D4}"/>
            </c:ext>
          </c:extLst>
        </c:ser>
        <c:ser>
          <c:idx val="1"/>
          <c:order val="1"/>
          <c:spPr>
            <a:ln w="25400" cap="rnd">
              <a:noFill/>
              <a:round/>
            </a:ln>
            <a:effectLst/>
          </c:spPr>
          <c:marker>
            <c:symbol val="circle"/>
            <c:size val="5"/>
            <c:spPr>
              <a:solidFill>
                <a:srgbClr val="00B050"/>
              </a:solidFill>
              <a:ln w="9525">
                <a:solidFill>
                  <a:srgbClr val="00B050"/>
                </a:solidFill>
              </a:ln>
              <a:effectLst/>
            </c:spPr>
          </c:marker>
          <c:xVal>
            <c:numRef>
              <c:f>'Performance Standards'!$H$44</c:f>
              <c:numCache>
                <c:formatCode>0</c:formatCode>
                <c:ptCount val="1"/>
                <c:pt idx="0">
                  <c:v>0</c:v>
                </c:pt>
              </c:numCache>
            </c:numRef>
          </c:xVal>
          <c:yVal>
            <c:numRef>
              <c:f>'Performance Standards'!$H$45</c:f>
              <c:numCache>
                <c:formatCode>General</c:formatCode>
                <c:ptCount val="1"/>
                <c:pt idx="0">
                  <c:v>1</c:v>
                </c:pt>
              </c:numCache>
            </c:numRef>
          </c:yVal>
          <c:smooth val="0"/>
          <c:extLst xmlns:c16r2="http://schemas.microsoft.com/office/drawing/2015/06/chart">
            <c:ext xmlns:c16="http://schemas.microsoft.com/office/drawing/2014/chart" uri="{C3380CC4-5D6E-409C-BE32-E72D297353CC}">
              <c16:uniqueId val="{00000002-497F-464D-9884-5EC6C306E1D4}"/>
            </c:ext>
          </c:extLst>
        </c:ser>
        <c:ser>
          <c:idx val="2"/>
          <c:order val="2"/>
          <c:spPr>
            <a:ln w="31750" cap="rnd">
              <a:solidFill>
                <a:srgbClr val="FF0000"/>
              </a:solidFill>
              <a:round/>
            </a:ln>
            <a:effectLst/>
          </c:spPr>
          <c:marker>
            <c:symbol val="none"/>
          </c:marker>
          <c:xVal>
            <c:numLit>
              <c:formatCode>General</c:formatCode>
              <c:ptCount val="3"/>
              <c:pt idx="0">
                <c:v>4</c:v>
              </c:pt>
              <c:pt idx="1">
                <c:v>5</c:v>
              </c:pt>
              <c:pt idx="2">
                <c:v>6</c:v>
              </c:pt>
            </c:numLit>
          </c:xVal>
          <c:yVal>
            <c:numLit>
              <c:formatCode>General</c:formatCode>
              <c:ptCount val="3"/>
              <c:pt idx="0">
                <c:v>0</c:v>
              </c:pt>
              <c:pt idx="1">
                <c:v>0</c:v>
              </c:pt>
              <c:pt idx="2">
                <c:v>0</c:v>
              </c:pt>
            </c:numLit>
          </c:yVal>
          <c:smooth val="0"/>
          <c:extLst xmlns:c16r2="http://schemas.microsoft.com/office/drawing/2015/06/chart">
            <c:ext xmlns:c16="http://schemas.microsoft.com/office/drawing/2014/chart" uri="{C3380CC4-5D6E-409C-BE32-E72D297353CC}">
              <c16:uniqueId val="{00000003-497F-464D-9884-5EC6C306E1D4}"/>
            </c:ext>
          </c:extLst>
        </c:ser>
        <c:dLbls>
          <c:showLegendKey val="0"/>
          <c:showVal val="0"/>
          <c:showCatName val="0"/>
          <c:showSerName val="0"/>
          <c:showPercent val="0"/>
          <c:showBubbleSize val="0"/>
        </c:dLbls>
        <c:axId val="449304752"/>
        <c:axId val="449305312"/>
      </c:scatterChart>
      <c:valAx>
        <c:axId val="449304752"/>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5312"/>
        <c:crosses val="autoZero"/>
        <c:crossBetween val="midCat"/>
        <c:majorUnit val="1"/>
      </c:valAx>
      <c:valAx>
        <c:axId val="44930531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47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Soil Compaction</a:t>
            </a:r>
          </a:p>
        </c:rich>
      </c:tx>
      <c:layout>
        <c:manualLayout>
          <c:xMode val="edge"/>
          <c:yMode val="edge"/>
          <c:x val="0.40076283633054266"/>
          <c:y val="2.370104904389913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2"/>
          <c:order val="0"/>
          <c:tx>
            <c:strRef>
              <c:f>'Performance Standards'!$B$79</c:f>
              <c:strCache>
                <c:ptCount val="1"/>
                <c:pt idx="0">
                  <c:v>Field Value</c:v>
                </c:pt>
              </c:strCache>
            </c:strRef>
          </c:tx>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accent3"/>
                </a:solidFill>
                <a:prstDash val="sysDot"/>
              </a:ln>
              <a:effectLst/>
            </c:spPr>
            <c:trendlineType val="poly"/>
            <c:order val="2"/>
            <c:dispRSqr val="0"/>
            <c:dispEq val="1"/>
            <c:trendlineLbl>
              <c:layout>
                <c:manualLayout>
                  <c:x val="-0.36296771554460033"/>
                  <c:y val="9.3579657369285182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Standards'!$C$79:$H$79</c:f>
              <c:numCache>
                <c:formatCode>General</c:formatCode>
                <c:ptCount val="6"/>
                <c:pt idx="0" formatCode="0">
                  <c:v>0</c:v>
                </c:pt>
                <c:pt idx="2">
                  <c:v>6</c:v>
                </c:pt>
                <c:pt idx="5" formatCode="0">
                  <c:v>30</c:v>
                </c:pt>
              </c:numCache>
            </c:numRef>
          </c:xVal>
          <c:yVal>
            <c:numRef>
              <c:f>'Performance Standards'!$C$80:$H$80</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4-3878-4AA3-8393-B0AF59A608B8}"/>
            </c:ext>
          </c:extLst>
        </c:ser>
        <c:dLbls>
          <c:showLegendKey val="0"/>
          <c:showVal val="0"/>
          <c:showCatName val="0"/>
          <c:showSerName val="0"/>
          <c:showPercent val="0"/>
          <c:showBubbleSize val="0"/>
        </c:dLbls>
        <c:axId val="449307552"/>
        <c:axId val="449308112"/>
      </c:scatterChart>
      <c:valAx>
        <c:axId val="4493075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8112"/>
        <c:crosses val="autoZero"/>
        <c:crossBetween val="midCat"/>
      </c:valAx>
      <c:valAx>
        <c:axId val="44930811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075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Aggradation Ratio</a:t>
            </a:r>
            <a:endParaRPr lang="en-US"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3"/>
            <c:dispRSqr val="0"/>
            <c:dispEq val="1"/>
            <c:trendlineLbl>
              <c:layout>
                <c:manualLayout>
                  <c:x val="2.22731154867619E-3"/>
                  <c:y val="-0.5310561102148926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Standards'!$S$685:$X$685</c:f>
              <c:numCache>
                <c:formatCode>General</c:formatCode>
                <c:ptCount val="6"/>
                <c:pt idx="0">
                  <c:v>1.6</c:v>
                </c:pt>
                <c:pt idx="2">
                  <c:v>1.4</c:v>
                </c:pt>
                <c:pt idx="3">
                  <c:v>1.2</c:v>
                </c:pt>
                <c:pt idx="5">
                  <c:v>1</c:v>
                </c:pt>
              </c:numCache>
            </c:numRef>
          </c:xVal>
          <c:yVal>
            <c:numRef>
              <c:f>'Performance Standards'!$S$686:$X$686</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1B6F-47C1-AA6D-97585A1F7338}"/>
            </c:ext>
          </c:extLst>
        </c:ser>
        <c:dLbls>
          <c:showLegendKey val="0"/>
          <c:showVal val="0"/>
          <c:showCatName val="0"/>
          <c:showSerName val="0"/>
          <c:showPercent val="0"/>
          <c:showBubbleSize val="0"/>
        </c:dLbls>
        <c:axId val="449310352"/>
        <c:axId val="449310912"/>
      </c:scatterChart>
      <c:valAx>
        <c:axId val="449310352"/>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0912"/>
        <c:crosses val="autoZero"/>
        <c:crossBetween val="midCat"/>
      </c:valAx>
      <c:valAx>
        <c:axId val="44931091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03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Buffer Width - C or E Stream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1"/>
            <c:dispEq val="1"/>
            <c:trendlineLbl>
              <c:layout>
                <c:manualLayout>
                  <c:x val="-0.54505420421658257"/>
                  <c:y val="8.5648724457825023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ly"/>
            <c:order val="2"/>
            <c:dispRSqr val="0"/>
            <c:dispEq val="1"/>
            <c:trendlineLbl>
              <c:layout>
                <c:manualLayout>
                  <c:x val="0.2929557838197373"/>
                  <c:y val="0.21719705198070496"/>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Standards'!$S$217:$W$217</c:f>
              <c:numCache>
                <c:formatCode>General</c:formatCode>
                <c:ptCount val="5"/>
                <c:pt idx="0">
                  <c:v>0</c:v>
                </c:pt>
                <c:pt idx="2">
                  <c:v>30</c:v>
                </c:pt>
                <c:pt idx="4">
                  <c:v>45</c:v>
                </c:pt>
              </c:numCache>
            </c:numRef>
          </c:xVal>
          <c:yVal>
            <c:numRef>
              <c:f>'Performance Standards'!$S$218:$W$218</c:f>
              <c:numCache>
                <c:formatCode>General</c:formatCode>
                <c:ptCount val="5"/>
                <c:pt idx="0">
                  <c:v>0</c:v>
                </c:pt>
                <c:pt idx="1">
                  <c:v>0.28999999999999998</c:v>
                </c:pt>
                <c:pt idx="2">
                  <c:v>0.3</c:v>
                </c:pt>
                <c:pt idx="3">
                  <c:v>0.69</c:v>
                </c:pt>
                <c:pt idx="4">
                  <c:v>0.7</c:v>
                </c:pt>
              </c:numCache>
            </c:numRef>
          </c:yVal>
          <c:smooth val="0"/>
          <c:extLst xmlns:c16r2="http://schemas.microsoft.com/office/drawing/2015/06/chart">
            <c:ext xmlns:c16="http://schemas.microsoft.com/office/drawing/2014/chart" uri="{C3380CC4-5D6E-409C-BE32-E72D297353CC}">
              <c16:uniqueId val="{00000004-E351-402D-B805-0A4BF058FE72}"/>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3.4909994086689575E-3"/>
                  <c:y val="0.1601526584119838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Standards'!$W$217:$X$217</c:f>
              <c:numCache>
                <c:formatCode>General</c:formatCode>
                <c:ptCount val="2"/>
                <c:pt idx="0">
                  <c:v>45</c:v>
                </c:pt>
                <c:pt idx="1">
                  <c:v>150</c:v>
                </c:pt>
              </c:numCache>
            </c:numRef>
          </c:xVal>
          <c:yVal>
            <c:numRef>
              <c:f>'Performance Standards'!$W$218:$X$218</c:f>
              <c:numCache>
                <c:formatCode>General</c:formatCode>
                <c:ptCount val="2"/>
                <c:pt idx="0">
                  <c:v>0.7</c:v>
                </c:pt>
                <c:pt idx="1">
                  <c:v>1</c:v>
                </c:pt>
              </c:numCache>
            </c:numRef>
          </c:yVal>
          <c:smooth val="0"/>
          <c:extLst xmlns:c16r2="http://schemas.microsoft.com/office/drawing/2015/06/chart" xmlns:c15="http://schemas.microsoft.com/office/drawing/2012/chart">
            <c:ext xmlns:c16="http://schemas.microsoft.com/office/drawing/2014/chart" uri="{C3380CC4-5D6E-409C-BE32-E72D297353CC}">
              <c16:uniqueId val="{00000006-E351-402D-B805-0A4BF058FE72}"/>
            </c:ext>
          </c:extLst>
        </c:ser>
        <c:dLbls>
          <c:showLegendKey val="0"/>
          <c:showVal val="0"/>
          <c:showCatName val="0"/>
          <c:showSerName val="0"/>
          <c:showPercent val="0"/>
          <c:showBubbleSize val="0"/>
        </c:dLbls>
        <c:axId val="449313712"/>
        <c:axId val="449314272"/>
        <c:extLst xmlns:c16r2="http://schemas.microsoft.com/office/drawing/2015/06/chart"/>
      </c:scatterChart>
      <c:valAx>
        <c:axId val="4493137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4272"/>
        <c:crosses val="autoZero"/>
        <c:crossBetween val="midCat"/>
      </c:valAx>
      <c:valAx>
        <c:axId val="4493142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371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 Pieces</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'Performance Standards'!$S$47</c:f>
              <c:strCache>
                <c:ptCount val="1"/>
                <c:pt idx="0">
                  <c:v>NF &amp; FAR</c:v>
                </c:pt>
              </c:strCache>
            </c:strRef>
          </c:tx>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35370819514126944"/>
                  <c:y val="0.2731430326662429"/>
                </c:manualLayout>
              </c:layout>
              <c:numFmt formatCode="0.00000E+00"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Standards'!$S$44:$V$44</c:f>
              <c:numCache>
                <c:formatCode>General</c:formatCode>
                <c:ptCount val="4"/>
                <c:pt idx="0">
                  <c:v>0</c:v>
                </c:pt>
                <c:pt idx="2">
                  <c:v>10</c:v>
                </c:pt>
                <c:pt idx="3">
                  <c:v>15</c:v>
                </c:pt>
              </c:numCache>
            </c:numRef>
          </c:xVal>
          <c:yVal>
            <c:numRef>
              <c:f>'Performance Standards'!$S$45:$V$45</c:f>
              <c:numCache>
                <c:formatCode>General</c:formatCode>
                <c:ptCount val="4"/>
                <c:pt idx="0">
                  <c:v>0</c:v>
                </c:pt>
                <c:pt idx="1">
                  <c:v>0.28999999999999998</c:v>
                </c:pt>
                <c:pt idx="2">
                  <c:v>0.3</c:v>
                </c:pt>
                <c:pt idx="3">
                  <c:v>0.69</c:v>
                </c:pt>
              </c:numCache>
            </c:numRef>
          </c:yVal>
          <c:smooth val="0"/>
          <c:extLst xmlns:c16r2="http://schemas.microsoft.com/office/drawing/2015/06/chart">
            <c:ext xmlns:c16="http://schemas.microsoft.com/office/drawing/2014/chart" uri="{C3380CC4-5D6E-409C-BE32-E72D297353CC}">
              <c16:uniqueId val="{00000001-7F2C-40ED-B2D8-6F5885A10BE3}"/>
            </c:ext>
          </c:extLst>
        </c:ser>
        <c:ser>
          <c:idx val="1"/>
          <c:order val="1"/>
          <c:tx>
            <c:strRef>
              <c:f>'Performance Standards'!$T$47</c:f>
              <c:strCache>
                <c:ptCount val="1"/>
                <c:pt idx="0">
                  <c:v>Functioning</c:v>
                </c:pt>
              </c:strCache>
            </c:strRef>
          </c:tx>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6.1591536057919189E-3"/>
                  <c:y val="0.17337287320991837"/>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Standards'!$V$44:$X$44</c:f>
              <c:numCache>
                <c:formatCode>General</c:formatCode>
                <c:ptCount val="3"/>
                <c:pt idx="0">
                  <c:v>15</c:v>
                </c:pt>
                <c:pt idx="2">
                  <c:v>30</c:v>
                </c:pt>
              </c:numCache>
            </c:numRef>
          </c:xVal>
          <c:yVal>
            <c:numRef>
              <c:f>'Performance Standards'!$V$45:$X$45</c:f>
              <c:numCache>
                <c:formatCode>General</c:formatCode>
                <c:ptCount val="3"/>
                <c:pt idx="0">
                  <c:v>0.69</c:v>
                </c:pt>
                <c:pt idx="1">
                  <c:v>0.7</c:v>
                </c:pt>
                <c:pt idx="2">
                  <c:v>1</c:v>
                </c:pt>
              </c:numCache>
            </c:numRef>
          </c:yVal>
          <c:smooth val="0"/>
          <c:extLst xmlns:c16r2="http://schemas.microsoft.com/office/drawing/2015/06/chart">
            <c:ext xmlns:c16="http://schemas.microsoft.com/office/drawing/2014/chart" uri="{C3380CC4-5D6E-409C-BE32-E72D297353CC}">
              <c16:uniqueId val="{00000003-7F2C-40ED-B2D8-6F5885A10BE3}"/>
            </c:ext>
          </c:extLst>
        </c:ser>
        <c:dLbls>
          <c:showLegendKey val="0"/>
          <c:showVal val="0"/>
          <c:showCatName val="0"/>
          <c:showSerName val="0"/>
          <c:showPercent val="0"/>
          <c:showBubbleSize val="0"/>
        </c:dLbls>
        <c:axId val="449317072"/>
        <c:axId val="449317632"/>
      </c:scatterChart>
      <c:valAx>
        <c:axId val="449317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7632"/>
        <c:crosses val="autoZero"/>
        <c:crossBetween val="midCat"/>
      </c:valAx>
      <c:valAx>
        <c:axId val="44931763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170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Sinuosity for Confined Alluvial Valleys</a:t>
            </a:r>
            <a:endParaRPr lang="en-US"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3"/>
          <c:order val="0"/>
          <c:spPr>
            <a:ln w="25400" cap="rnd">
              <a:noFill/>
              <a:round/>
            </a:ln>
            <a:effectLst/>
          </c:spPr>
          <c:marker>
            <c:symbol val="circle"/>
            <c:size val="5"/>
            <c:spPr>
              <a:solidFill>
                <a:schemeClr val="accent4"/>
              </a:solidFill>
              <a:ln w="9525">
                <a:solidFill>
                  <a:schemeClr val="accent4"/>
                </a:solidFill>
              </a:ln>
              <a:effectLst/>
            </c:spPr>
          </c:marker>
          <c:trendline>
            <c:spPr>
              <a:ln w="19050" cap="rnd">
                <a:solidFill>
                  <a:schemeClr val="accent4"/>
                </a:solidFill>
                <a:prstDash val="sysDot"/>
              </a:ln>
              <a:effectLst/>
            </c:spPr>
            <c:trendlineType val="linear"/>
            <c:dispRSqr val="0"/>
            <c:dispEq val="1"/>
            <c:trendlineLbl>
              <c:layout>
                <c:manualLayout>
                  <c:x val="-0.45212452412665938"/>
                  <c:y val="8.0301049931280066E-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rendlineLbl>
          </c:trendline>
          <c:xVal>
            <c:numRef>
              <c:f>'Performance Standards'!$S$781:$X$781</c:f>
              <c:numCache>
                <c:formatCode>General</c:formatCode>
                <c:ptCount val="6"/>
                <c:pt idx="4">
                  <c:v>1.1499999999999999</c:v>
                </c:pt>
                <c:pt idx="5">
                  <c:v>1.4</c:v>
                </c:pt>
              </c:numCache>
            </c:numRef>
          </c:xVal>
          <c:yVal>
            <c:numRef>
              <c:f>'Performance Standards'!$S$782:$X$782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5-F0ED-4017-971A-4D92ED772309}"/>
            </c:ext>
          </c:extLst>
        </c:ser>
        <c:ser>
          <c:idx val="0"/>
          <c:order val="1"/>
          <c:tx>
            <c:v>Floor</c:v>
          </c:tx>
          <c:spPr>
            <a:ln w="31750" cap="rnd">
              <a:solidFill>
                <a:srgbClr val="FF0000"/>
              </a:solidFill>
              <a:round/>
            </a:ln>
            <a:effectLst/>
          </c:spPr>
          <c:marker>
            <c:symbol val="none"/>
          </c:marker>
          <c:xVal>
            <c:numLit>
              <c:formatCode>General</c:formatCode>
              <c:ptCount val="2"/>
              <c:pt idx="0">
                <c:v>1</c:v>
              </c:pt>
              <c:pt idx="1">
                <c:v>1.1399999999999999</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7-F0ED-4017-971A-4D92ED772309}"/>
            </c:ext>
          </c:extLst>
        </c:ser>
        <c:dLbls>
          <c:showLegendKey val="0"/>
          <c:showVal val="0"/>
          <c:showCatName val="0"/>
          <c:showSerName val="0"/>
          <c:showPercent val="0"/>
          <c:showBubbleSize val="0"/>
        </c:dLbls>
        <c:axId val="449320992"/>
        <c:axId val="449321552"/>
      </c:scatterChart>
      <c:valAx>
        <c:axId val="449320992"/>
        <c:scaling>
          <c:orientation val="minMax"/>
          <c:max val="1.4"/>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21552"/>
        <c:crosses val="autoZero"/>
        <c:crossBetween val="midCat"/>
      </c:valAx>
      <c:valAx>
        <c:axId val="44932155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93209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Spacing Ratio, C and E type streams, slope &lt; 4% &amp; DA &gt;= 10 </a:t>
            </a:r>
          </a:p>
        </c:rich>
      </c:tx>
      <c:layout>
        <c:manualLayout>
          <c:xMode val="edge"/>
          <c:yMode val="edge"/>
          <c:x val="0.13861403207867781"/>
          <c:y val="2.73049576773156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layout>
                <c:manualLayout>
                  <c:x val="-0.13054549136143342"/>
                  <c:y val="-0.38645661122272923"/>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Standards'!$S$385:$Y$385</c:f>
              <c:numCache>
                <c:formatCode>0.0</c:formatCode>
                <c:ptCount val="7"/>
                <c:pt idx="0">
                  <c:v>8.0668000000000006</c:v>
                </c:pt>
                <c:pt idx="1">
                  <c:v>2.9416000000000002</c:v>
                </c:pt>
                <c:pt idx="2" formatCode="General">
                  <c:v>3.2</c:v>
                </c:pt>
                <c:pt idx="3" formatCode="General">
                  <c:v>7.8</c:v>
                </c:pt>
                <c:pt idx="5" formatCode="General">
                  <c:v>4</c:v>
                </c:pt>
                <c:pt idx="6" formatCode="General">
                  <c:v>7</c:v>
                </c:pt>
              </c:numCache>
            </c:numRef>
          </c:xVal>
          <c:yVal>
            <c:numRef>
              <c:f>'Performance Standards'!$S$386:$Y$386</c:f>
              <c:numCache>
                <c:formatCode>General</c:formatCode>
                <c:ptCount val="7"/>
                <c:pt idx="0">
                  <c:v>0</c:v>
                </c:pt>
                <c:pt idx="1">
                  <c:v>0</c:v>
                </c:pt>
                <c:pt idx="2">
                  <c:v>0.28999999999999998</c:v>
                </c:pt>
                <c:pt idx="3">
                  <c:v>0.3</c:v>
                </c:pt>
                <c:pt idx="4">
                  <c:v>0.69</c:v>
                </c:pt>
                <c:pt idx="5">
                  <c:v>1</c:v>
                </c:pt>
                <c:pt idx="6">
                  <c:v>1</c:v>
                </c:pt>
              </c:numCache>
            </c:numRef>
          </c:yVal>
          <c:smooth val="0"/>
          <c:extLst xmlns:c16r2="http://schemas.microsoft.com/office/drawing/2015/06/chart">
            <c:ext xmlns:c16="http://schemas.microsoft.com/office/drawing/2014/chart" uri="{C3380CC4-5D6E-409C-BE32-E72D297353CC}">
              <c16:uniqueId val="{00000001-3F89-4AE3-A340-207A3C2A9FF9}"/>
            </c:ext>
          </c:extLst>
        </c:ser>
        <c:ser>
          <c:idx val="0"/>
          <c:order val="1"/>
          <c:spPr>
            <a:ln w="25400" cap="rnd">
              <a:solidFill>
                <a:srgbClr val="FF0000"/>
              </a:solidFill>
              <a:round/>
            </a:ln>
            <a:effectLst/>
          </c:spPr>
          <c:marker>
            <c:symbol val="none"/>
          </c:marker>
          <c:xVal>
            <c:numLit>
              <c:formatCode>General</c:formatCode>
              <c:ptCount val="2"/>
              <c:pt idx="0">
                <c:v>4</c:v>
              </c:pt>
              <c:pt idx="1">
                <c:v>7</c:v>
              </c:pt>
            </c:numLit>
          </c:xVal>
          <c:yVal>
            <c:numLit>
              <c:formatCode>General</c:formatCode>
              <c:ptCount val="2"/>
              <c:pt idx="0">
                <c:v>1</c:v>
              </c:pt>
              <c:pt idx="1">
                <c:v>1</c:v>
              </c:pt>
            </c:numLit>
          </c:yVal>
          <c:smooth val="0"/>
          <c:extLst xmlns:c16r2="http://schemas.microsoft.com/office/drawing/2015/06/chart">
            <c:ext xmlns:c16="http://schemas.microsoft.com/office/drawing/2014/chart" uri="{C3380CC4-5D6E-409C-BE32-E72D297353CC}">
              <c16:uniqueId val="{00000001-82D0-428D-B895-AAEB0FC68F1A}"/>
            </c:ext>
          </c:extLst>
        </c:ser>
        <c:dLbls>
          <c:showLegendKey val="0"/>
          <c:showVal val="0"/>
          <c:showCatName val="0"/>
          <c:showSerName val="0"/>
          <c:showPercent val="0"/>
          <c:showBubbleSize val="0"/>
        </c:dLbls>
        <c:axId val="444057120"/>
        <c:axId val="444057680"/>
      </c:scatterChart>
      <c:valAx>
        <c:axId val="44405712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57680"/>
        <c:crosses val="autoZero"/>
        <c:crossBetween val="midCat"/>
      </c:valAx>
      <c:valAx>
        <c:axId val="44405768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0571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Overall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'Data Summary'!$C$24:$C$25</c:f>
              <c:strCache>
                <c:ptCount val="1"/>
                <c:pt idx="0">
                  <c:v>ECS</c:v>
                </c:pt>
              </c:strCache>
            </c:strRef>
          </c:tx>
          <c:spPr>
            <a:ln w="19050" cap="rnd">
              <a:solidFill>
                <a:srgbClr val="FF0000">
                  <a:alpha val="50000"/>
                </a:srgbClr>
              </a:solidFill>
              <a:prstDash val="dash"/>
              <a:round/>
            </a:ln>
            <a:effectLst/>
          </c:spPr>
          <c:marker>
            <c:symbol val="none"/>
          </c:marker>
          <c:xVal>
            <c:numRef>
              <c:f>('Data Summary'!$F$25,'Data Summary'!$A$36)</c:f>
              <c:numCache>
                <c:formatCode>General</c:formatCode>
                <c:ptCount val="2"/>
                <c:pt idx="0">
                  <c:v>#N/A</c:v>
                </c:pt>
                <c:pt idx="1">
                  <c:v>#N/A</c:v>
                </c:pt>
              </c:numCache>
            </c:numRef>
          </c:xVal>
          <c:yVal>
            <c:numRef>
              <c:f>('Data Summary'!$C$31,'Data Summary'!$C$31)</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377C-4EA9-9858-DD24FD97EF7F}"/>
            </c:ext>
          </c:extLst>
        </c:ser>
        <c:ser>
          <c:idx val="2"/>
          <c:order val="1"/>
          <c:tx>
            <c:strRef>
              <c:f>'Data Summary'!$D$24:$D$25</c:f>
              <c:strCache>
                <c:ptCount val="1"/>
                <c:pt idx="0">
                  <c:v>PCS</c:v>
                </c:pt>
              </c:strCache>
            </c:strRef>
          </c:tx>
          <c:spPr>
            <a:ln w="19050" cap="rnd">
              <a:solidFill>
                <a:srgbClr val="00B0F0"/>
              </a:solidFill>
              <a:round/>
            </a:ln>
            <a:effectLst/>
          </c:spPr>
          <c:marker>
            <c:symbol val="none"/>
          </c:marker>
          <c:xVal>
            <c:numRef>
              <c:f>('Data Summary'!$F$25,'Data Summary'!$A$36)</c:f>
              <c:numCache>
                <c:formatCode>General</c:formatCode>
                <c:ptCount val="2"/>
                <c:pt idx="0">
                  <c:v>#N/A</c:v>
                </c:pt>
                <c:pt idx="1">
                  <c:v>#N/A</c:v>
                </c:pt>
              </c:numCache>
            </c:numRef>
          </c:xVal>
          <c:yVal>
            <c:numRef>
              <c:f>('Data Summary'!$D$31,'Data Summary'!$D$31)</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377C-4EA9-9858-DD24FD97EF7F}"/>
            </c:ext>
          </c:extLst>
        </c:ser>
        <c:ser>
          <c:idx val="3"/>
          <c:order val="2"/>
          <c:tx>
            <c:strRef>
              <c:f>'Data Summary'!$E$24:$E$25</c:f>
              <c:strCache>
                <c:ptCount val="1"/>
                <c:pt idx="0">
                  <c:v>As-Built</c:v>
                </c:pt>
              </c:strCache>
            </c:strRef>
          </c:tx>
          <c:spPr>
            <a:ln w="38100" cap="rnd" cmpd="dbl">
              <a:solidFill>
                <a:schemeClr val="bg2">
                  <a:lumMod val="75000"/>
                </a:schemeClr>
              </a:solidFill>
              <a:prstDash val="dash"/>
              <a:round/>
            </a:ln>
            <a:effectLst/>
          </c:spPr>
          <c:marker>
            <c:symbol val="none"/>
          </c:marker>
          <c:xVal>
            <c:numRef>
              <c:f>('Data Summary'!$F$25,'Data Summary'!$A$36)</c:f>
              <c:numCache>
                <c:formatCode>General</c:formatCode>
                <c:ptCount val="2"/>
                <c:pt idx="0">
                  <c:v>#N/A</c:v>
                </c:pt>
                <c:pt idx="1">
                  <c:v>#N/A</c:v>
                </c:pt>
              </c:numCache>
            </c:numRef>
          </c:xVal>
          <c:yVal>
            <c:numRef>
              <c:f>('Data Summary'!$E$31,'Data Summary'!$E$31)</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377C-4EA9-9858-DD24FD97EF7F}"/>
            </c:ext>
          </c:extLst>
        </c:ser>
        <c:ser>
          <c:idx val="0"/>
          <c:order val="3"/>
          <c:tx>
            <c:v>Monitoring Data</c:v>
          </c:tx>
          <c:spPr>
            <a:ln w="28575" cap="rnd">
              <a:solidFill>
                <a:schemeClr val="tx1"/>
              </a:solidFill>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Summary'!$F$31:$O$31</c:f>
              <c:numCache>
                <c:formatCode>0.00</c:formatCode>
                <c:ptCount val="10"/>
                <c:pt idx="0">
                  <c:v>#N/A</c:v>
                </c:pt>
                <c:pt idx="1">
                  <c:v>#N/A</c:v>
                </c:pt>
                <c:pt idx="2">
                  <c:v>#N/A</c:v>
                </c:pt>
                <c:pt idx="3">
                  <c:v>#N/A</c:v>
                </c:pt>
                <c:pt idx="4">
                  <c:v>#N/A</c:v>
                </c:pt>
                <c:pt idx="5">
                  <c:v>#N/A</c:v>
                </c:pt>
                <c:pt idx="6">
                  <c:v>#N/A</c:v>
                </c:pt>
                <c:pt idx="7">
                  <c:v>#N/A</c:v>
                </c:pt>
                <c:pt idx="8">
                  <c:v>#N/A</c:v>
                </c:pt>
                <c:pt idx="9">
                  <c:v>#N/A</c:v>
                </c:pt>
              </c:numCache>
            </c:numRef>
          </c:yVal>
          <c:smooth val="0"/>
          <c:extLst xmlns:c16r2="http://schemas.microsoft.com/office/drawing/2015/06/chart">
            <c:ext xmlns:c16="http://schemas.microsoft.com/office/drawing/2014/chart" uri="{C3380CC4-5D6E-409C-BE32-E72D297353CC}">
              <c16:uniqueId val="{00000000-D029-4D92-AEAF-A8311BD790D4}"/>
            </c:ext>
          </c:extLst>
        </c:ser>
        <c:dLbls>
          <c:showLegendKey val="0"/>
          <c:showVal val="0"/>
          <c:showCatName val="0"/>
          <c:showSerName val="0"/>
          <c:showPercent val="0"/>
          <c:showBubbleSize val="0"/>
        </c:dLbls>
        <c:axId val="449326032"/>
        <c:axId val="449326592"/>
      </c:scatterChart>
      <c:valAx>
        <c:axId val="449326032"/>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26592"/>
        <c:crosses val="autoZero"/>
        <c:crossBetween val="midCat"/>
      </c:valAx>
      <c:valAx>
        <c:axId val="4493265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2603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Functional Feet Score </a:t>
            </a:r>
            <a:r>
              <a:rPr lang="en-US" sz="2000" baseline="0"/>
              <a:t>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1"/>
          <c:order val="0"/>
          <c:tx>
            <c:strRef>
              <c:f>'Data Summary'!$C$24:$C$25</c:f>
              <c:strCache>
                <c:ptCount val="1"/>
                <c:pt idx="0">
                  <c:v>ECS</c:v>
                </c:pt>
              </c:strCache>
            </c:strRef>
          </c:tx>
          <c:spPr>
            <a:ln w="19050" cap="rnd">
              <a:solidFill>
                <a:srgbClr val="FF0000">
                  <a:alpha val="50000"/>
                </a:srgbClr>
              </a:solidFill>
              <a:prstDash val="dash"/>
              <a:round/>
            </a:ln>
            <a:effectLst/>
          </c:spPr>
          <c:marker>
            <c:symbol val="none"/>
          </c:marker>
          <c:xVal>
            <c:numRef>
              <c:f>('Data Summary'!$F$25,'Data Summary'!$A$36)</c:f>
              <c:numCache>
                <c:formatCode>General</c:formatCode>
                <c:ptCount val="2"/>
                <c:pt idx="0">
                  <c:v>#N/A</c:v>
                </c:pt>
                <c:pt idx="1">
                  <c:v>#N/A</c:v>
                </c:pt>
              </c:numCache>
            </c:numRef>
          </c:xVal>
          <c:yVal>
            <c:numRef>
              <c:f>('Data Summary'!$C$32,'Data Summary'!$C$32)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BF5F-49D1-B7E8-F18A8E0EDA1E}"/>
            </c:ext>
          </c:extLst>
        </c:ser>
        <c:ser>
          <c:idx val="2"/>
          <c:order val="1"/>
          <c:tx>
            <c:strRef>
              <c:f>'Data Summary'!$D$24:$D$25</c:f>
              <c:strCache>
                <c:ptCount val="1"/>
                <c:pt idx="0">
                  <c:v>PCS</c:v>
                </c:pt>
              </c:strCache>
            </c:strRef>
          </c:tx>
          <c:spPr>
            <a:ln w="19050" cap="rnd">
              <a:solidFill>
                <a:srgbClr val="00B0F0"/>
              </a:solidFill>
              <a:round/>
            </a:ln>
            <a:effectLst/>
          </c:spPr>
          <c:marker>
            <c:symbol val="none"/>
          </c:marker>
          <c:xVal>
            <c:numRef>
              <c:f>('Data Summary'!$F$25,'Data Summary'!$A$36)</c:f>
              <c:numCache>
                <c:formatCode>General</c:formatCode>
                <c:ptCount val="2"/>
                <c:pt idx="0">
                  <c:v>#N/A</c:v>
                </c:pt>
                <c:pt idx="1">
                  <c:v>#N/A</c:v>
                </c:pt>
              </c:numCache>
            </c:numRef>
          </c:xVal>
          <c:yVal>
            <c:numRef>
              <c:f>('Data Summary'!$D$32,'Data Summary'!$D$32)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BF5F-49D1-B7E8-F18A8E0EDA1E}"/>
            </c:ext>
          </c:extLst>
        </c:ser>
        <c:ser>
          <c:idx val="3"/>
          <c:order val="2"/>
          <c:tx>
            <c:strRef>
              <c:f>'Data Summary'!$E$24:$E$25</c:f>
              <c:strCache>
                <c:ptCount val="1"/>
                <c:pt idx="0">
                  <c:v>As-Built</c:v>
                </c:pt>
              </c:strCache>
            </c:strRef>
          </c:tx>
          <c:spPr>
            <a:ln w="38100" cap="rnd" cmpd="dbl">
              <a:solidFill>
                <a:schemeClr val="bg2">
                  <a:lumMod val="75000"/>
                </a:schemeClr>
              </a:solidFill>
              <a:prstDash val="dash"/>
              <a:round/>
            </a:ln>
            <a:effectLst/>
          </c:spPr>
          <c:marker>
            <c:symbol val="none"/>
          </c:marker>
          <c:xVal>
            <c:numRef>
              <c:f>('Data Summary'!$F$25,'Data Summary'!$A$36)</c:f>
              <c:numCache>
                <c:formatCode>General</c:formatCode>
                <c:ptCount val="2"/>
                <c:pt idx="0">
                  <c:v>#N/A</c:v>
                </c:pt>
                <c:pt idx="1">
                  <c:v>#N/A</c:v>
                </c:pt>
              </c:numCache>
            </c:numRef>
          </c:xVal>
          <c:yVal>
            <c:numRef>
              <c:f>('Data Summary'!$E$32,'Data Summary'!$E$32)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BF5F-49D1-B7E8-F18A8E0EDA1E}"/>
            </c:ext>
          </c:extLst>
        </c:ser>
        <c:ser>
          <c:idx val="0"/>
          <c:order val="3"/>
          <c:tx>
            <c:v>Monitoring Data</c:v>
          </c:tx>
          <c:spPr>
            <a:ln w="28575" cap="rnd">
              <a:solidFill>
                <a:schemeClr val="tx1"/>
              </a:solidFill>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Summary'!$F$32:$O$32</c:f>
              <c:numCache>
                <c:formatCode>General</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BF5F-49D1-B7E8-F18A8E0EDA1E}"/>
            </c:ext>
          </c:extLst>
        </c:ser>
        <c:dLbls>
          <c:showLegendKey val="0"/>
          <c:showVal val="0"/>
          <c:showCatName val="0"/>
          <c:showSerName val="0"/>
          <c:showPercent val="0"/>
          <c:showBubbleSize val="0"/>
        </c:dLbls>
        <c:axId val="449331072"/>
        <c:axId val="449331632"/>
      </c:scatterChart>
      <c:valAx>
        <c:axId val="449331072"/>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31632"/>
        <c:crosses val="autoZero"/>
        <c:crossBetween val="midCat"/>
      </c:valAx>
      <c:valAx>
        <c:axId val="449331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Functional Feet</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310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Big Four Parameters -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4"/>
          <c:order val="0"/>
          <c:tx>
            <c:strRef>
              <c:f>'Data Summary'!$B$7</c:f>
              <c:strCache>
                <c:ptCount val="1"/>
                <c:pt idx="0">
                  <c:v>Floodplain Connectivity</c:v>
                </c:pt>
              </c:strCache>
            </c:strRef>
          </c:tx>
          <c:spPr>
            <a:ln w="19050" cap="rnd">
              <a:solidFill>
                <a:schemeClr val="accent5"/>
              </a:solidFill>
              <a:prstDash val="dash"/>
              <a:round/>
            </a:ln>
            <a:effectLst/>
          </c:spPr>
          <c:marker>
            <c:symbol val="none"/>
          </c:marker>
          <c:xVal>
            <c:numRef>
              <c:f>'Data Summary'!$F$4:$O$4</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Summary'!$F$7:$O$7</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4-92C8-4EBD-977B-3E233368AC59}"/>
            </c:ext>
          </c:extLst>
        </c:ser>
        <c:ser>
          <c:idx val="5"/>
          <c:order val="1"/>
          <c:tx>
            <c:strRef>
              <c:f>'Data Summary'!$B$9</c:f>
              <c:strCache>
                <c:ptCount val="1"/>
                <c:pt idx="0">
                  <c:v>Lateral Stability</c:v>
                </c:pt>
              </c:strCache>
            </c:strRef>
          </c:tx>
          <c:spPr>
            <a:ln w="19050" cap="rnd">
              <a:solidFill>
                <a:srgbClr val="FF0000"/>
              </a:solidFill>
              <a:prstDash val="dash"/>
              <a:round/>
            </a:ln>
            <a:effectLst/>
          </c:spPr>
          <c:marker>
            <c:symbol val="none"/>
          </c:marker>
          <c:xVal>
            <c:numRef>
              <c:f>'Data Summary'!$F$4:$O$4</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Summary'!$F$9:$O$9</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5-92C8-4EBD-977B-3E233368AC59}"/>
            </c:ext>
          </c:extLst>
        </c:ser>
        <c:ser>
          <c:idx val="6"/>
          <c:order val="2"/>
          <c:tx>
            <c:strRef>
              <c:f>'Data Summary'!$B$10</c:f>
              <c:strCache>
                <c:ptCount val="1"/>
                <c:pt idx="0">
                  <c:v>Riparian Vegetation</c:v>
                </c:pt>
              </c:strCache>
            </c:strRef>
          </c:tx>
          <c:spPr>
            <a:ln w="19050" cap="rnd">
              <a:solidFill>
                <a:srgbClr val="92D050"/>
              </a:solidFill>
              <a:prstDash val="dash"/>
              <a:round/>
            </a:ln>
            <a:effectLst/>
          </c:spPr>
          <c:marker>
            <c:symbol val="none"/>
          </c:marker>
          <c:xVal>
            <c:numRef>
              <c:f>'Data Summary'!$F$4:$O$4</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Summary'!$F$10:$O$10</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6-92C8-4EBD-977B-3E233368AC59}"/>
            </c:ext>
          </c:extLst>
        </c:ser>
        <c:ser>
          <c:idx val="7"/>
          <c:order val="3"/>
          <c:tx>
            <c:strRef>
              <c:f>'Data Summary'!$B$12</c:f>
              <c:strCache>
                <c:ptCount val="1"/>
                <c:pt idx="0">
                  <c:v>Bed Form Diversity</c:v>
                </c:pt>
              </c:strCache>
            </c:strRef>
          </c:tx>
          <c:spPr>
            <a:ln w="19050" cap="rnd">
              <a:solidFill>
                <a:srgbClr val="FFC000"/>
              </a:solidFill>
              <a:prstDash val="dash"/>
              <a:round/>
            </a:ln>
            <a:effectLst/>
          </c:spPr>
          <c:marker>
            <c:symbol val="none"/>
          </c:marker>
          <c:xVal>
            <c:numRef>
              <c:f>'Data Summary'!$F$4:$O$4</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Summary'!$F$12:$O$12</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7-92C8-4EBD-977B-3E233368AC59}"/>
            </c:ext>
          </c:extLst>
        </c:ser>
        <c:ser>
          <c:idx val="0"/>
          <c:order val="4"/>
          <c:tx>
            <c:v>Monitoring Data</c:v>
          </c:tx>
          <c:spPr>
            <a:ln w="28575" cap="rnd">
              <a:solidFill>
                <a:schemeClr val="tx1"/>
              </a:solidFill>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Summary'!$F$31:$O$31</c:f>
              <c:numCache>
                <c:formatCode>0.00</c:formatCode>
                <c:ptCount val="10"/>
                <c:pt idx="0">
                  <c:v>#N/A</c:v>
                </c:pt>
                <c:pt idx="1">
                  <c:v>#N/A</c:v>
                </c:pt>
                <c:pt idx="2">
                  <c:v>#N/A</c:v>
                </c:pt>
                <c:pt idx="3">
                  <c:v>#N/A</c:v>
                </c:pt>
                <c:pt idx="4">
                  <c:v>#N/A</c:v>
                </c:pt>
                <c:pt idx="5">
                  <c:v>#N/A</c:v>
                </c:pt>
                <c:pt idx="6">
                  <c:v>#N/A</c:v>
                </c:pt>
                <c:pt idx="7">
                  <c:v>#N/A</c:v>
                </c:pt>
                <c:pt idx="8">
                  <c:v>#N/A</c:v>
                </c:pt>
                <c:pt idx="9">
                  <c:v>#N/A</c:v>
                </c:pt>
              </c:numCache>
            </c:numRef>
          </c:yVal>
          <c:smooth val="0"/>
          <c:extLst xmlns:c16r2="http://schemas.microsoft.com/office/drawing/2015/06/chart">
            <c:ext xmlns:c16="http://schemas.microsoft.com/office/drawing/2014/chart" uri="{C3380CC4-5D6E-409C-BE32-E72D297353CC}">
              <c16:uniqueId val="{00000003-92C8-4EBD-977B-3E233368AC59}"/>
            </c:ext>
          </c:extLst>
        </c:ser>
        <c:dLbls>
          <c:showLegendKey val="0"/>
          <c:showVal val="0"/>
          <c:showCatName val="0"/>
          <c:showSerName val="0"/>
          <c:showPercent val="0"/>
          <c:showBubbleSize val="0"/>
        </c:dLbls>
        <c:axId val="449336672"/>
        <c:axId val="449337232"/>
      </c:scatterChart>
      <c:valAx>
        <c:axId val="449336672"/>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37232"/>
        <c:crosses val="autoZero"/>
        <c:crossBetween val="midCat"/>
      </c:valAx>
      <c:valAx>
        <c:axId val="44933723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3667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Functional Category - Condition</a:t>
            </a:r>
            <a:r>
              <a:rPr lang="en-US" sz="2000" baseline="0"/>
              <a:t> Score Tracking</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5"/>
          <c:order val="0"/>
          <c:tx>
            <c:strRef>
              <c:f>'Data Summary'!$A$26</c:f>
              <c:strCache>
                <c:ptCount val="1"/>
                <c:pt idx="0">
                  <c:v>Hydrology</c:v>
                </c:pt>
              </c:strCache>
            </c:strRef>
          </c:tx>
          <c:spPr>
            <a:ln w="19050" cap="rnd">
              <a:solidFill>
                <a:srgbClr val="00B0F0"/>
              </a:solidFill>
              <a:prstDash val="dash"/>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Summary'!$F$26:$O$26</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1-53E5-43F6-935D-28E090B64FB7}"/>
            </c:ext>
          </c:extLst>
        </c:ser>
        <c:ser>
          <c:idx val="6"/>
          <c:order val="1"/>
          <c:tx>
            <c:strRef>
              <c:f>'Data Summary'!$A$27</c:f>
              <c:strCache>
                <c:ptCount val="1"/>
                <c:pt idx="0">
                  <c:v>Hydraulics</c:v>
                </c:pt>
              </c:strCache>
            </c:strRef>
          </c:tx>
          <c:spPr>
            <a:ln w="19050" cap="rnd">
              <a:solidFill>
                <a:srgbClr val="0070C0"/>
              </a:solidFill>
              <a:prstDash val="dash"/>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Summary'!$F$27:$O$27</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2-53E5-43F6-935D-28E090B64FB7}"/>
            </c:ext>
          </c:extLst>
        </c:ser>
        <c:ser>
          <c:idx val="4"/>
          <c:order val="2"/>
          <c:tx>
            <c:strRef>
              <c:f>'Data Summary'!$A$28:$B$28</c:f>
              <c:strCache>
                <c:ptCount val="2"/>
                <c:pt idx="0">
                  <c:v>Geomorphology</c:v>
                </c:pt>
              </c:strCache>
            </c:strRef>
          </c:tx>
          <c:spPr>
            <a:ln w="19050" cap="rnd">
              <a:solidFill>
                <a:schemeClr val="accent2"/>
              </a:solidFill>
              <a:prstDash val="dash"/>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Summary'!$F$28:$O$28</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53E5-43F6-935D-28E090B64FB7}"/>
            </c:ext>
          </c:extLst>
        </c:ser>
        <c:ser>
          <c:idx val="7"/>
          <c:order val="3"/>
          <c:tx>
            <c:strRef>
              <c:f>'Data Summary'!$A$29</c:f>
              <c:strCache>
                <c:ptCount val="1"/>
                <c:pt idx="0">
                  <c:v>Physicochemical</c:v>
                </c:pt>
              </c:strCache>
            </c:strRef>
          </c:tx>
          <c:spPr>
            <a:ln w="19050" cap="rnd">
              <a:solidFill>
                <a:schemeClr val="accent4"/>
              </a:solidFill>
              <a:prstDash val="dash"/>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Summary'!$F$29:$O$29</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3-53E5-43F6-935D-28E090B64FB7}"/>
            </c:ext>
          </c:extLst>
        </c:ser>
        <c:ser>
          <c:idx val="1"/>
          <c:order val="4"/>
          <c:tx>
            <c:strRef>
              <c:f>'Data Summary'!$A$30:$B$30</c:f>
              <c:strCache>
                <c:ptCount val="2"/>
                <c:pt idx="0">
                  <c:v>Biology</c:v>
                </c:pt>
              </c:strCache>
            </c:strRef>
          </c:tx>
          <c:spPr>
            <a:ln w="19050" cap="rnd">
              <a:solidFill>
                <a:srgbClr val="92D050"/>
              </a:solidFill>
              <a:prstDash val="dash"/>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Summary'!$F$30:$O$30</c:f>
              <c:numCache>
                <c:formatCode>0.00</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5-53E5-43F6-935D-28E090B64FB7}"/>
            </c:ext>
          </c:extLst>
        </c:ser>
        <c:ser>
          <c:idx val="0"/>
          <c:order val="5"/>
          <c:tx>
            <c:v>Monitoring Data</c:v>
          </c:tx>
          <c:spPr>
            <a:ln w="28575" cap="rnd">
              <a:solidFill>
                <a:schemeClr val="tx1"/>
              </a:solidFill>
              <a:round/>
            </a:ln>
            <a:effectLst/>
          </c:spPr>
          <c:marker>
            <c:symbol val="none"/>
          </c:marker>
          <c:xVal>
            <c:numRef>
              <c:f>'Data Summary'!$F$25:$O$25</c:f>
              <c:numCache>
                <c:formatCode>General</c:formatCode>
                <c:ptCount val="10"/>
                <c:pt idx="0">
                  <c:v>#N/A</c:v>
                </c:pt>
                <c:pt idx="1">
                  <c:v>#N/A</c:v>
                </c:pt>
                <c:pt idx="2">
                  <c:v>#N/A</c:v>
                </c:pt>
                <c:pt idx="3">
                  <c:v>#N/A</c:v>
                </c:pt>
                <c:pt idx="4">
                  <c:v>#N/A</c:v>
                </c:pt>
                <c:pt idx="5">
                  <c:v>#N/A</c:v>
                </c:pt>
                <c:pt idx="6">
                  <c:v>#N/A</c:v>
                </c:pt>
                <c:pt idx="7">
                  <c:v>#N/A</c:v>
                </c:pt>
                <c:pt idx="8">
                  <c:v>#N/A</c:v>
                </c:pt>
                <c:pt idx="9">
                  <c:v>#N/A</c:v>
                </c:pt>
              </c:numCache>
            </c:numRef>
          </c:xVal>
          <c:yVal>
            <c:numRef>
              <c:f>'Data Summary'!$F$31:$O$31</c:f>
              <c:numCache>
                <c:formatCode>0.00</c:formatCode>
                <c:ptCount val="10"/>
                <c:pt idx="0">
                  <c:v>#N/A</c:v>
                </c:pt>
                <c:pt idx="1">
                  <c:v>#N/A</c:v>
                </c:pt>
                <c:pt idx="2">
                  <c:v>#N/A</c:v>
                </c:pt>
                <c:pt idx="3">
                  <c:v>#N/A</c:v>
                </c:pt>
                <c:pt idx="4">
                  <c:v>#N/A</c:v>
                </c:pt>
                <c:pt idx="5">
                  <c:v>#N/A</c:v>
                </c:pt>
                <c:pt idx="6">
                  <c:v>#N/A</c:v>
                </c:pt>
                <c:pt idx="7">
                  <c:v>#N/A</c:v>
                </c:pt>
                <c:pt idx="8">
                  <c:v>#N/A</c:v>
                </c:pt>
                <c:pt idx="9">
                  <c:v>#N/A</c:v>
                </c:pt>
              </c:numCache>
            </c:numRef>
          </c:yVal>
          <c:smooth val="0"/>
          <c:extLst xmlns:c16r2="http://schemas.microsoft.com/office/drawing/2015/06/chart">
            <c:ext xmlns:c16="http://schemas.microsoft.com/office/drawing/2014/chart" uri="{C3380CC4-5D6E-409C-BE32-E72D297353CC}">
              <c16:uniqueId val="{00000004-53E5-43F6-935D-28E090B64FB7}"/>
            </c:ext>
          </c:extLst>
        </c:ser>
        <c:dLbls>
          <c:showLegendKey val="0"/>
          <c:showVal val="0"/>
          <c:showCatName val="0"/>
          <c:showSerName val="0"/>
          <c:showPercent val="0"/>
          <c:showBubbleSize val="0"/>
        </c:dLbls>
        <c:axId val="449342832"/>
        <c:axId val="449343392"/>
      </c:scatterChart>
      <c:valAx>
        <c:axId val="449342832"/>
        <c:scaling>
          <c:orientation val="minMax"/>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Monitoring Year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43392"/>
        <c:crosses val="autoZero"/>
        <c:crossBetween val="midCat"/>
      </c:valAx>
      <c:valAx>
        <c:axId val="44934339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Condition Score</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4934283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Pool Spacing Ratio for C and E type streams with slope &lt; 4% &amp; DA&lt;10 </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10641387664223922"/>
                  <c:y val="0.17170878141780807"/>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Standards'!$S$417:$X$417</c:f>
              <c:numCache>
                <c:formatCode>General</c:formatCode>
                <c:ptCount val="6"/>
                <c:pt idx="2">
                  <c:v>3</c:v>
                </c:pt>
                <c:pt idx="5">
                  <c:v>4</c:v>
                </c:pt>
              </c:numCache>
            </c:numRef>
          </c:xVal>
          <c:yVal>
            <c:numRef>
              <c:f>'Performance Standards'!$S$419:$X$419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C14F-47BE-9206-E7937E692AD6}"/>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poly"/>
            <c:order val="2"/>
            <c:dispRSqr val="0"/>
            <c:dispEq val="1"/>
            <c:trendlineLbl>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Standards'!$S$418:$X$418</c:f>
              <c:numCache>
                <c:formatCode>General</c:formatCode>
                <c:ptCount val="6"/>
                <c:pt idx="2">
                  <c:v>7</c:v>
                </c:pt>
                <c:pt idx="5">
                  <c:v>5.5</c:v>
                </c:pt>
              </c:numCache>
            </c:numRef>
          </c:xVal>
          <c:yVal>
            <c:numRef>
              <c:f>'Performance Standards'!$S$419:$X$419</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1-C14F-47BE-9206-E7937E692AD6}"/>
            </c:ext>
          </c:extLst>
        </c:ser>
        <c:ser>
          <c:idx val="2"/>
          <c:order val="2"/>
          <c:spPr>
            <a:ln w="25400" cap="rnd">
              <a:noFill/>
              <a:round/>
            </a:ln>
            <a:effectLst/>
          </c:spPr>
          <c:marker>
            <c:symbol val="circle"/>
            <c:size val="5"/>
            <c:spPr>
              <a:solidFill>
                <a:schemeClr val="accent3"/>
              </a:solidFill>
              <a:ln w="9525">
                <a:solidFill>
                  <a:schemeClr val="accent3"/>
                </a:solidFill>
              </a:ln>
              <a:effectLst/>
            </c:spPr>
          </c:marker>
          <c:trendline>
            <c:spPr>
              <a:ln w="19050" cap="rnd">
                <a:solidFill>
                  <a:schemeClr val="tx1"/>
                </a:solidFill>
                <a:prstDash val="sysDot"/>
              </a:ln>
              <a:effectLst/>
            </c:spPr>
            <c:trendlineType val="linear"/>
            <c:dispRSqr val="0"/>
            <c:dispEq val="0"/>
          </c:trendline>
          <c:xVal>
            <c:numRef>
              <c:f>'Performance Standards'!$X$417:$Y$417</c:f>
              <c:numCache>
                <c:formatCode>General</c:formatCode>
                <c:ptCount val="2"/>
                <c:pt idx="0">
                  <c:v>4</c:v>
                </c:pt>
                <c:pt idx="1">
                  <c:v>5.5</c:v>
                </c:pt>
              </c:numCache>
            </c:numRef>
          </c:xVal>
          <c:yVal>
            <c:numRef>
              <c:f>'Performance Standards'!$X$419:$Y$419</c:f>
              <c:numCache>
                <c:formatCode>General</c:formatCode>
                <c:ptCount val="2"/>
                <c:pt idx="0">
                  <c:v>1</c:v>
                </c:pt>
                <c:pt idx="1">
                  <c:v>1</c:v>
                </c:pt>
              </c:numCache>
            </c:numRef>
          </c:yVal>
          <c:smooth val="0"/>
          <c:extLst xmlns:c16r2="http://schemas.microsoft.com/office/drawing/2015/06/chart">
            <c:ext xmlns:c16="http://schemas.microsoft.com/office/drawing/2014/chart" uri="{C3380CC4-5D6E-409C-BE32-E72D297353CC}">
              <c16:uniqueId val="{00000000-5122-429D-BBAA-0171AD4E5BB3}"/>
            </c:ext>
          </c:extLst>
        </c:ser>
        <c:ser>
          <c:idx val="3"/>
          <c:order val="3"/>
          <c:spPr>
            <a:ln w="31750" cap="rnd">
              <a:solidFill>
                <a:srgbClr val="FF0000"/>
              </a:solidFill>
              <a:round/>
            </a:ln>
            <a:effectLst/>
          </c:spPr>
          <c:marker>
            <c:symbol val="none"/>
          </c:marker>
          <c:xVal>
            <c:numLit>
              <c:formatCode>General</c:formatCode>
              <c:ptCount val="2"/>
              <c:pt idx="0">
                <c:v>0</c:v>
              </c:pt>
              <c:pt idx="1">
                <c:v>3</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3-E3E6-4F08-9E58-9A6B24D32C81}"/>
            </c:ext>
          </c:extLst>
        </c:ser>
        <c:ser>
          <c:idx val="4"/>
          <c:order val="4"/>
          <c:spPr>
            <a:ln w="31750" cap="rnd">
              <a:solidFill>
                <a:srgbClr val="FF0000"/>
              </a:solidFill>
              <a:round/>
            </a:ln>
            <a:effectLst/>
          </c:spPr>
          <c:marker>
            <c:symbol val="none"/>
          </c:marker>
          <c:xVal>
            <c:numLit>
              <c:formatCode>General</c:formatCode>
              <c:ptCount val="2"/>
              <c:pt idx="0">
                <c:v>7</c:v>
              </c:pt>
              <c:pt idx="1">
                <c:v>8</c:v>
              </c:pt>
            </c:numLit>
          </c:xVal>
          <c:yVal>
            <c:numLit>
              <c:formatCode>General</c:formatCode>
              <c:ptCount val="2"/>
              <c:pt idx="0">
                <c:v>0</c:v>
              </c:pt>
              <c:pt idx="1">
                <c:v>0</c:v>
              </c:pt>
            </c:numLit>
          </c:yVal>
          <c:smooth val="0"/>
          <c:extLst xmlns:c16r2="http://schemas.microsoft.com/office/drawing/2015/06/chart">
            <c:ext xmlns:c16="http://schemas.microsoft.com/office/drawing/2014/chart" uri="{C3380CC4-5D6E-409C-BE32-E72D297353CC}">
              <c16:uniqueId val="{00000004-E3E6-4F08-9E58-9A6B24D32C81}"/>
            </c:ext>
          </c:extLst>
        </c:ser>
        <c:dLbls>
          <c:showLegendKey val="0"/>
          <c:showVal val="0"/>
          <c:showCatName val="0"/>
          <c:showSerName val="0"/>
          <c:showPercent val="0"/>
          <c:showBubbleSize val="0"/>
        </c:dLbls>
        <c:axId val="444615344"/>
        <c:axId val="444615904"/>
      </c:scatterChart>
      <c:valAx>
        <c:axId val="444615344"/>
        <c:scaling>
          <c:orientation val="minMax"/>
          <c:max val="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15904"/>
        <c:crosses val="autoZero"/>
        <c:crossBetween val="midCat"/>
      </c:valAx>
      <c:valAx>
        <c:axId val="4446159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15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Spacing Ratio for Bc streams with slope &lt; 2% or B streams with slope between 2 and 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dispRSqr val="0"/>
            <c:dispEq val="1"/>
            <c:trendlineLbl>
              <c:layout>
                <c:manualLayout>
                  <c:x val="-0.29590313009057556"/>
                  <c:y val="-0.34118987642823634"/>
                </c:manualLayout>
              </c:layout>
              <c:numFmt formatCode="#,##0.000000"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'Performance Standards'!$S$451:$X$451</c:f>
              <c:numCache>
                <c:formatCode>General</c:formatCode>
                <c:ptCount val="6"/>
                <c:pt idx="0">
                  <c:v>8</c:v>
                </c:pt>
                <c:pt idx="4">
                  <c:v>4</c:v>
                </c:pt>
                <c:pt idx="5">
                  <c:v>0.6</c:v>
                </c:pt>
              </c:numCache>
            </c:numRef>
          </c:xVal>
          <c:yVal>
            <c:numRef>
              <c:f>'Performance Standards'!$S$452:$X$452</c:f>
              <c:numCache>
                <c:formatCode>General</c:formatCode>
                <c:ptCount val="6"/>
                <c:pt idx="0">
                  <c:v>0</c:v>
                </c:pt>
                <c:pt idx="1">
                  <c:v>0.28999999999999998</c:v>
                </c:pt>
                <c:pt idx="2">
                  <c:v>0.3</c:v>
                </c:pt>
                <c:pt idx="3">
                  <c:v>0.69</c:v>
                </c:pt>
                <c:pt idx="4">
                  <c:v>0.7</c:v>
                </c:pt>
                <c:pt idx="5">
                  <c:v>1</c:v>
                </c:pt>
              </c:numCache>
            </c:numRef>
          </c:yVal>
          <c:smooth val="0"/>
          <c:extLst xmlns:c16r2="http://schemas.microsoft.com/office/drawing/2015/06/chart">
            <c:ext xmlns:c16="http://schemas.microsoft.com/office/drawing/2014/chart" uri="{C3380CC4-5D6E-409C-BE32-E72D297353CC}">
              <c16:uniqueId val="{00000000-ED1E-4832-8408-8CBD3FC589E3}"/>
            </c:ext>
          </c:extLst>
        </c:ser>
        <c:dLbls>
          <c:showLegendKey val="0"/>
          <c:showVal val="0"/>
          <c:showCatName val="0"/>
          <c:showSerName val="0"/>
          <c:showPercent val="0"/>
          <c:showBubbleSize val="0"/>
        </c:dLbls>
        <c:axId val="444618704"/>
        <c:axId val="444619264"/>
      </c:scatterChart>
      <c:valAx>
        <c:axId val="444618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19264"/>
        <c:crosses val="autoZero"/>
        <c:crossBetween val="midCat"/>
      </c:valAx>
      <c:valAx>
        <c:axId val="4446192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1870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Pool Depth Ratio for gravel bed C and E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4.1920268829909173E-2"/>
                  <c:y val="0.10268177239089378"/>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5"/>
                      </a:solidFill>
                      <a:latin typeface="+mn-lt"/>
                      <a:ea typeface="+mn-ea"/>
                      <a:cs typeface="+mn-cs"/>
                    </a:defRPr>
                  </a:pPr>
                  <a:endParaRPr lang="en-US"/>
                </a:p>
              </c:txPr>
            </c:trendlineLbl>
          </c:trendline>
          <c:xVal>
            <c:numRef>
              <c:f>'Performance Standards'!$S$484:$U$484</c:f>
              <c:numCache>
                <c:formatCode>General</c:formatCode>
                <c:ptCount val="3"/>
                <c:pt idx="0" formatCode="0.00">
                  <c:v>1.1000000000000001</c:v>
                </c:pt>
                <c:pt idx="2">
                  <c:v>1.2</c:v>
                </c:pt>
              </c:numCache>
            </c:numRef>
          </c:xVal>
          <c:yVal>
            <c:numRef>
              <c:f>'Performance Standards'!$S$485:$U$485</c:f>
              <c:numCache>
                <c:formatCode>General</c:formatCode>
                <c:ptCount val="3"/>
                <c:pt idx="0">
                  <c:v>0</c:v>
                </c:pt>
                <c:pt idx="1">
                  <c:v>0.28999999999999998</c:v>
                </c:pt>
                <c:pt idx="2">
                  <c:v>0.3</c:v>
                </c:pt>
              </c:numCache>
            </c:numRef>
          </c:yVal>
          <c:smooth val="0"/>
          <c:extLst xmlns:c16r2="http://schemas.microsoft.com/office/drawing/2015/06/chart">
            <c:ext xmlns:c16="http://schemas.microsoft.com/office/drawing/2014/chart" uri="{C3380CC4-5D6E-409C-BE32-E72D297353CC}">
              <c16:uniqueId val="{00000000-8EC5-4A07-8D5B-D3562716BC89}"/>
            </c:ext>
          </c:extLst>
        </c:ser>
        <c:ser>
          <c:idx val="1"/>
          <c:order val="1"/>
          <c:spPr>
            <a:ln w="25400"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0"/>
            <c:dispEq val="1"/>
            <c:trendlineLbl>
              <c:layout>
                <c:manualLayout>
                  <c:x val="-0.11067631311805945"/>
                  <c:y val="0.15771396900945858"/>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accent2"/>
                      </a:solidFill>
                      <a:latin typeface="+mn-lt"/>
                      <a:ea typeface="+mn-ea"/>
                      <a:cs typeface="+mn-cs"/>
                    </a:defRPr>
                  </a:pPr>
                  <a:endParaRPr lang="en-US"/>
                </a:p>
              </c:txPr>
            </c:trendlineLbl>
          </c:trendline>
          <c:xVal>
            <c:numRef>
              <c:f>'Performance Standards'!$U$484:$X$484</c:f>
              <c:numCache>
                <c:formatCode>General</c:formatCode>
                <c:ptCount val="4"/>
                <c:pt idx="0">
                  <c:v>1.2</c:v>
                </c:pt>
                <c:pt idx="2">
                  <c:v>1.51</c:v>
                </c:pt>
                <c:pt idx="3" formatCode="0.00">
                  <c:v>1.7425404944586531</c:v>
                </c:pt>
              </c:numCache>
            </c:numRef>
          </c:xVal>
          <c:yVal>
            <c:numRef>
              <c:f>'Performance Standards'!$U$485:$X$485</c:f>
              <c:numCache>
                <c:formatCode>General</c:formatCode>
                <c:ptCount val="4"/>
                <c:pt idx="0">
                  <c:v>0.3</c:v>
                </c:pt>
                <c:pt idx="1">
                  <c:v>0.69</c:v>
                </c:pt>
                <c:pt idx="2">
                  <c:v>0.7</c:v>
                </c:pt>
                <c:pt idx="3">
                  <c:v>1</c:v>
                </c:pt>
              </c:numCache>
            </c:numRef>
          </c:yVal>
          <c:smooth val="0"/>
          <c:extLst xmlns:c16r2="http://schemas.microsoft.com/office/drawing/2015/06/chart">
            <c:ext xmlns:c16="http://schemas.microsoft.com/office/drawing/2014/chart" uri="{C3380CC4-5D6E-409C-BE32-E72D297353CC}">
              <c16:uniqueId val="{00000000-6121-4ADE-A1F7-55E2A9FD0207}"/>
            </c:ext>
          </c:extLst>
        </c:ser>
        <c:dLbls>
          <c:showLegendKey val="0"/>
          <c:showVal val="0"/>
          <c:showCatName val="0"/>
          <c:showSerName val="0"/>
          <c:showPercent val="0"/>
          <c:showBubbleSize val="0"/>
        </c:dLbls>
        <c:axId val="444622064"/>
        <c:axId val="444622624"/>
      </c:scatterChart>
      <c:valAx>
        <c:axId val="44462206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22624"/>
        <c:crosses val="autoZero"/>
        <c:crossBetween val="midCat"/>
      </c:valAx>
      <c:valAx>
        <c:axId val="4446226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6220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5" Type="http://schemas.openxmlformats.org/officeDocument/2006/relationships/chart" Target="../charts/chart5.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8" Type="http://schemas.openxmlformats.org/officeDocument/2006/relationships/chart" Target="../charts/chart8.xml"/><Relationship Id="rId51" Type="http://schemas.openxmlformats.org/officeDocument/2006/relationships/chart" Target="../charts/chart51.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2.xml"/><Relationship Id="rId2" Type="http://schemas.openxmlformats.org/officeDocument/2006/relationships/chart" Target="../charts/chart61.xml"/><Relationship Id="rId1" Type="http://schemas.openxmlformats.org/officeDocument/2006/relationships/chart" Target="../charts/chart60.xml"/><Relationship Id="rId4" Type="http://schemas.openxmlformats.org/officeDocument/2006/relationships/chart" Target="../charts/chart63.xml"/></Relationships>
</file>

<file path=xl/drawings/drawing1.xml><?xml version="1.0" encoding="utf-8"?>
<xdr:wsDr xmlns:xdr="http://schemas.openxmlformats.org/drawingml/2006/spreadsheetDrawing" xmlns:a="http://schemas.openxmlformats.org/drawingml/2006/main">
  <xdr:twoCellAnchor>
    <xdr:from>
      <xdr:col>0</xdr:col>
      <xdr:colOff>84454</xdr:colOff>
      <xdr:row>33</xdr:row>
      <xdr:rowOff>124460</xdr:rowOff>
    </xdr:from>
    <xdr:to>
      <xdr:col>7</xdr:col>
      <xdr:colOff>88900</xdr:colOff>
      <xdr:row>37</xdr:row>
      <xdr:rowOff>88900</xdr:rowOff>
    </xdr:to>
    <xdr:sp macro="" textlink="">
      <xdr:nvSpPr>
        <xdr:cNvPr id="6" name="TextBox 5">
          <a:extLst>
            <a:ext uri="{FF2B5EF4-FFF2-40B4-BE49-F238E27FC236}">
              <a16:creationId xmlns:a16="http://schemas.microsoft.com/office/drawing/2014/main" xmlns="" id="{00000000-0008-0000-0000-000006000000}"/>
            </a:ext>
          </a:extLst>
        </xdr:cNvPr>
        <xdr:cNvSpPr txBox="1"/>
      </xdr:nvSpPr>
      <xdr:spPr>
        <a:xfrm>
          <a:off x="84454" y="6156960"/>
          <a:ext cx="4652646" cy="675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NOTICE: </a:t>
          </a:r>
          <a:r>
            <a:rPr lang="en-US" sz="1100" baseline="0"/>
            <a:t>If you find errors or problems, please contact Will Harman at wharman@stream-mechanics.com.</a:t>
          </a:r>
        </a:p>
      </xdr:txBody>
    </xdr:sp>
    <xdr:clientData/>
  </xdr:twoCellAnchor>
  <xdr:twoCellAnchor>
    <xdr:from>
      <xdr:col>6</xdr:col>
      <xdr:colOff>38660</xdr:colOff>
      <xdr:row>7</xdr:row>
      <xdr:rowOff>7844</xdr:rowOff>
    </xdr:from>
    <xdr:to>
      <xdr:col>11</xdr:col>
      <xdr:colOff>571499</xdr:colOff>
      <xdr:row>14</xdr:row>
      <xdr:rowOff>177613</xdr:rowOff>
    </xdr:to>
    <xdr:sp macro="" textlink="">
      <xdr:nvSpPr>
        <xdr:cNvPr id="8" name="TextBox 7">
          <a:extLst>
            <a:ext uri="{FF2B5EF4-FFF2-40B4-BE49-F238E27FC236}">
              <a16:creationId xmlns:a16="http://schemas.microsoft.com/office/drawing/2014/main" xmlns="" id="{7CA42BF2-1F13-47A3-8D76-D5888004AD03}"/>
            </a:ext>
          </a:extLst>
        </xdr:cNvPr>
        <xdr:cNvSpPr txBox="1"/>
      </xdr:nvSpPr>
      <xdr:spPr>
        <a:xfrm>
          <a:off x="4892600" y="1745204"/>
          <a:ext cx="4563819" cy="1449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Expand</a:t>
          </a:r>
          <a:r>
            <a:rPr lang="en-US" sz="1100" baseline="0"/>
            <a:t> on the programmatic goals of this project:</a:t>
          </a:r>
        </a:p>
        <a:p>
          <a:endParaRPr lang="en-US" sz="1100"/>
        </a:p>
      </xdr:txBody>
    </xdr:sp>
    <xdr:clientData/>
  </xdr:twoCellAnchor>
  <xdr:twoCellAnchor>
    <xdr:from>
      <xdr:col>6</xdr:col>
      <xdr:colOff>34924</xdr:colOff>
      <xdr:row>15</xdr:row>
      <xdr:rowOff>24092</xdr:rowOff>
    </xdr:from>
    <xdr:to>
      <xdr:col>11</xdr:col>
      <xdr:colOff>558799</xdr:colOff>
      <xdr:row>23</xdr:row>
      <xdr:rowOff>43142</xdr:rowOff>
    </xdr:to>
    <xdr:sp macro="" textlink="">
      <xdr:nvSpPr>
        <xdr:cNvPr id="9" name="TextBox 8">
          <a:extLst>
            <a:ext uri="{FF2B5EF4-FFF2-40B4-BE49-F238E27FC236}">
              <a16:creationId xmlns:a16="http://schemas.microsoft.com/office/drawing/2014/main" xmlns="" id="{4C051BE2-A62B-4FC6-B7F4-22A643F4F1A0}"/>
            </a:ext>
          </a:extLst>
        </xdr:cNvPr>
        <xdr:cNvSpPr txBox="1"/>
      </xdr:nvSpPr>
      <xdr:spPr>
        <a:xfrm>
          <a:off x="4888864" y="3224492"/>
          <a:ext cx="4554855" cy="150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Explain the restoration</a:t>
          </a:r>
          <a:r>
            <a:rPr lang="en-US" sz="1100" baseline="0"/>
            <a:t> potential of this project based on the programmatic goals (based on catchment assessment form):</a:t>
          </a:r>
        </a:p>
        <a:p>
          <a:endParaRPr lang="en-US" sz="1100"/>
        </a:p>
      </xdr:txBody>
    </xdr:sp>
    <xdr:clientData/>
  </xdr:twoCellAnchor>
  <xdr:twoCellAnchor>
    <xdr:from>
      <xdr:col>6</xdr:col>
      <xdr:colOff>47624</xdr:colOff>
      <xdr:row>23</xdr:row>
      <xdr:rowOff>95249</xdr:rowOff>
    </xdr:from>
    <xdr:to>
      <xdr:col>11</xdr:col>
      <xdr:colOff>571499</xdr:colOff>
      <xdr:row>31</xdr:row>
      <xdr:rowOff>85724</xdr:rowOff>
    </xdr:to>
    <xdr:sp macro="" textlink="">
      <xdr:nvSpPr>
        <xdr:cNvPr id="10" name="TextBox 9">
          <a:extLst>
            <a:ext uri="{FF2B5EF4-FFF2-40B4-BE49-F238E27FC236}">
              <a16:creationId xmlns:a16="http://schemas.microsoft.com/office/drawing/2014/main" xmlns="" id="{E96D213F-E4B0-47F3-A458-BDEE5C638C05}"/>
            </a:ext>
          </a:extLst>
        </xdr:cNvPr>
        <xdr:cNvSpPr txBox="1"/>
      </xdr:nvSpPr>
      <xdr:spPr>
        <a:xfrm>
          <a:off x="4901564" y="4781549"/>
          <a:ext cx="4554855" cy="1461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Explain </a:t>
          </a:r>
          <a:r>
            <a:rPr lang="en-US" sz="1100" baseline="0"/>
            <a:t>the goals and objectives for this project:</a:t>
          </a:r>
        </a:p>
        <a:p>
          <a:endParaRPr lang="en-US" sz="1100"/>
        </a:p>
        <a:p>
          <a:r>
            <a:rPr lang="en-US" sz="1100"/>
            <a:t>Goals:</a:t>
          </a:r>
          <a:r>
            <a:rPr lang="en-US" sz="1100" baseline="0"/>
            <a:t> </a:t>
          </a:r>
        </a:p>
        <a:p>
          <a:endParaRPr lang="en-US" sz="1100" baseline="0"/>
        </a:p>
        <a:p>
          <a:r>
            <a:rPr lang="en-US" sz="1100" baseline="0"/>
            <a:t>Objectives: </a:t>
          </a:r>
          <a:endParaRPr lang="en-US" sz="1100"/>
        </a:p>
      </xdr:txBody>
    </xdr:sp>
    <xdr:clientData/>
  </xdr:twoCellAnchor>
  <xdr:twoCellAnchor>
    <xdr:from>
      <xdr:col>0</xdr:col>
      <xdr:colOff>43890</xdr:colOff>
      <xdr:row>7</xdr:row>
      <xdr:rowOff>16808</xdr:rowOff>
    </xdr:from>
    <xdr:to>
      <xdr:col>4</xdr:col>
      <xdr:colOff>558800</xdr:colOff>
      <xdr:row>15</xdr:row>
      <xdr:rowOff>152400</xdr:rowOff>
    </xdr:to>
    <xdr:sp macro="" textlink="">
      <xdr:nvSpPr>
        <xdr:cNvPr id="11" name="TextBox 10">
          <a:extLst>
            <a:ext uri="{FF2B5EF4-FFF2-40B4-BE49-F238E27FC236}">
              <a16:creationId xmlns:a16="http://schemas.microsoft.com/office/drawing/2014/main" xmlns="" id="{F697401B-EFF1-4344-A2AC-678128FE4BD3}"/>
            </a:ext>
          </a:extLst>
        </xdr:cNvPr>
        <xdr:cNvSpPr txBox="1"/>
      </xdr:nvSpPr>
      <xdr:spPr>
        <a:xfrm>
          <a:off x="43890" y="1754168"/>
          <a:ext cx="4401110" cy="1598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Describe this reach and </a:t>
          </a:r>
          <a:r>
            <a:rPr lang="en-US" sz="1100" baseline="0"/>
            <a:t>reach break criteria</a:t>
          </a:r>
          <a:r>
            <a:rPr lang="en-US" sz="1100"/>
            <a:t>:</a:t>
          </a:r>
        </a:p>
      </xdr:txBody>
    </xdr:sp>
    <xdr:clientData/>
  </xdr:twoCellAnchor>
  <xdr:twoCellAnchor>
    <xdr:from>
      <xdr:col>0</xdr:col>
      <xdr:colOff>38661</xdr:colOff>
      <xdr:row>20</xdr:row>
      <xdr:rowOff>20544</xdr:rowOff>
    </xdr:from>
    <xdr:to>
      <xdr:col>4</xdr:col>
      <xdr:colOff>558800</xdr:colOff>
      <xdr:row>28</xdr:row>
      <xdr:rowOff>165100</xdr:rowOff>
    </xdr:to>
    <xdr:sp macro="" textlink="">
      <xdr:nvSpPr>
        <xdr:cNvPr id="12" name="TextBox 11">
          <a:extLst>
            <a:ext uri="{FF2B5EF4-FFF2-40B4-BE49-F238E27FC236}">
              <a16:creationId xmlns:a16="http://schemas.microsoft.com/office/drawing/2014/main" xmlns="" id="{0DCE8F7F-52D8-4D1E-B6A3-3BD907EFC1AF}"/>
            </a:ext>
          </a:extLst>
        </xdr:cNvPr>
        <xdr:cNvSpPr txBox="1"/>
      </xdr:nvSpPr>
      <xdr:spPr>
        <a:xfrm>
          <a:off x="38661" y="4158204"/>
          <a:ext cx="4406339" cy="16075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Describe the proposed project and anticipated impacts to the stream:</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16329</xdr:colOff>
      <xdr:row>16</xdr:row>
      <xdr:rowOff>58512</xdr:rowOff>
    </xdr:from>
    <xdr:to>
      <xdr:col>15</xdr:col>
      <xdr:colOff>771525</xdr:colOff>
      <xdr:row>40</xdr:row>
      <xdr:rowOff>57149</xdr:rowOff>
    </xdr:to>
    <xdr:graphicFrame macro="">
      <xdr:nvGraphicFramePr>
        <xdr:cNvPr id="2" name="Chart 1">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42182</xdr:colOff>
      <xdr:row>50</xdr:row>
      <xdr:rowOff>50346</xdr:rowOff>
    </xdr:from>
    <xdr:to>
      <xdr:col>16</xdr:col>
      <xdr:colOff>0</xdr:colOff>
      <xdr:row>74</xdr:row>
      <xdr:rowOff>9525</xdr:rowOff>
    </xdr:to>
    <xdr:graphicFrame macro="">
      <xdr:nvGraphicFramePr>
        <xdr:cNvPr id="3" name="Chart 2">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63954</xdr:colOff>
      <xdr:row>85</xdr:row>
      <xdr:rowOff>99331</xdr:rowOff>
    </xdr:from>
    <xdr:to>
      <xdr:col>15</xdr:col>
      <xdr:colOff>742950</xdr:colOff>
      <xdr:row>108</xdr:row>
      <xdr:rowOff>114300</xdr:rowOff>
    </xdr:to>
    <xdr:graphicFrame macro="">
      <xdr:nvGraphicFramePr>
        <xdr:cNvPr id="4" name="Chart 3">
          <a:extLst>
            <a:ext uri="{FF2B5EF4-FFF2-40B4-BE49-F238E27FC236}">
              <a16:creationId xmlns:a16="http://schemas.microsoft.com/office/drawing/2014/main" xmlns=""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39460</xdr:colOff>
      <xdr:row>16</xdr:row>
      <xdr:rowOff>44903</xdr:rowOff>
    </xdr:from>
    <xdr:to>
      <xdr:col>23</xdr:col>
      <xdr:colOff>771525</xdr:colOff>
      <xdr:row>40</xdr:row>
      <xdr:rowOff>57150</xdr:rowOff>
    </xdr:to>
    <xdr:graphicFrame macro="">
      <xdr:nvGraphicFramePr>
        <xdr:cNvPr id="5" name="Chart 4">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148316</xdr:colOff>
      <xdr:row>358</xdr:row>
      <xdr:rowOff>53069</xdr:rowOff>
    </xdr:from>
    <xdr:to>
      <xdr:col>24</xdr:col>
      <xdr:colOff>685799</xdr:colOff>
      <xdr:row>381</xdr:row>
      <xdr:rowOff>104775</xdr:rowOff>
    </xdr:to>
    <xdr:graphicFrame macro="">
      <xdr:nvGraphicFramePr>
        <xdr:cNvPr id="9" name="Chart 8">
          <a:extLst>
            <a:ext uri="{FF2B5EF4-FFF2-40B4-BE49-F238E27FC236}">
              <a16:creationId xmlns:a16="http://schemas.microsoft.com/office/drawing/2014/main" xmlns=""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122464</xdr:colOff>
      <xdr:row>391</xdr:row>
      <xdr:rowOff>54428</xdr:rowOff>
    </xdr:from>
    <xdr:to>
      <xdr:col>24</xdr:col>
      <xdr:colOff>704850</xdr:colOff>
      <xdr:row>413</xdr:row>
      <xdr:rowOff>133350</xdr:rowOff>
    </xdr:to>
    <xdr:graphicFrame macro="">
      <xdr:nvGraphicFramePr>
        <xdr:cNvPr id="10" name="Chart 9">
          <a:extLst>
            <a:ext uri="{FF2B5EF4-FFF2-40B4-BE49-F238E27FC236}">
              <a16:creationId xmlns:a16="http://schemas.microsoft.com/office/drawing/2014/main" xmlns=""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30480</xdr:colOff>
      <xdr:row>425</xdr:row>
      <xdr:rowOff>41909</xdr:rowOff>
    </xdr:from>
    <xdr:to>
      <xdr:col>24</xdr:col>
      <xdr:colOff>678180</xdr:colOff>
      <xdr:row>448</xdr:row>
      <xdr:rowOff>32384</xdr:rowOff>
    </xdr:to>
    <xdr:graphicFrame macro="">
      <xdr:nvGraphicFramePr>
        <xdr:cNvPr id="11" name="Chart 10">
          <a:extLst>
            <a:ext uri="{FF2B5EF4-FFF2-40B4-BE49-F238E27FC236}">
              <a16:creationId xmlns:a16="http://schemas.microsoft.com/office/drawing/2014/main" xmlns=""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66676</xdr:colOff>
      <xdr:row>457</xdr:row>
      <xdr:rowOff>151948</xdr:rowOff>
    </xdr:from>
    <xdr:to>
      <xdr:col>23</xdr:col>
      <xdr:colOff>714375</xdr:colOff>
      <xdr:row>480</xdr:row>
      <xdr:rowOff>152400</xdr:rowOff>
    </xdr:to>
    <xdr:graphicFrame macro="">
      <xdr:nvGraphicFramePr>
        <xdr:cNvPr id="12" name="Chart 11">
          <a:extLst>
            <a:ext uri="{FF2B5EF4-FFF2-40B4-BE49-F238E27FC236}">
              <a16:creationId xmlns:a16="http://schemas.microsoft.com/office/drawing/2014/main" xmlns=""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65770</xdr:colOff>
      <xdr:row>490</xdr:row>
      <xdr:rowOff>78469</xdr:rowOff>
    </xdr:from>
    <xdr:to>
      <xdr:col>23</xdr:col>
      <xdr:colOff>733425</xdr:colOff>
      <xdr:row>513</xdr:row>
      <xdr:rowOff>38100</xdr:rowOff>
    </xdr:to>
    <xdr:graphicFrame macro="">
      <xdr:nvGraphicFramePr>
        <xdr:cNvPr id="13" name="Chart 12">
          <a:extLst>
            <a:ext uri="{FF2B5EF4-FFF2-40B4-BE49-F238E27FC236}">
              <a16:creationId xmlns:a16="http://schemas.microsoft.com/office/drawing/2014/main" xmlns=""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19051</xdr:colOff>
      <xdr:row>523</xdr:row>
      <xdr:rowOff>57150</xdr:rowOff>
    </xdr:from>
    <xdr:to>
      <xdr:col>23</xdr:col>
      <xdr:colOff>704850</xdr:colOff>
      <xdr:row>547</xdr:row>
      <xdr:rowOff>180976</xdr:rowOff>
    </xdr:to>
    <xdr:graphicFrame macro="">
      <xdr:nvGraphicFramePr>
        <xdr:cNvPr id="14" name="Chart 13">
          <a:extLst>
            <a:ext uri="{FF2B5EF4-FFF2-40B4-BE49-F238E27FC236}">
              <a16:creationId xmlns:a16="http://schemas.microsoft.com/office/drawing/2014/main" xmlns=""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80963</xdr:colOff>
      <xdr:row>557</xdr:row>
      <xdr:rowOff>57830</xdr:rowOff>
    </xdr:from>
    <xdr:to>
      <xdr:col>23</xdr:col>
      <xdr:colOff>704850</xdr:colOff>
      <xdr:row>580</xdr:row>
      <xdr:rowOff>161926</xdr:rowOff>
    </xdr:to>
    <xdr:graphicFrame macro="">
      <xdr:nvGraphicFramePr>
        <xdr:cNvPr id="15" name="Chart 14">
          <a:extLst>
            <a:ext uri="{FF2B5EF4-FFF2-40B4-BE49-F238E27FC236}">
              <a16:creationId xmlns:a16="http://schemas.microsoft.com/office/drawing/2014/main" xmlns=""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76079</xdr:colOff>
      <xdr:row>725</xdr:row>
      <xdr:rowOff>66475</xdr:rowOff>
    </xdr:from>
    <xdr:to>
      <xdr:col>23</xdr:col>
      <xdr:colOff>704850</xdr:colOff>
      <xdr:row>747</xdr:row>
      <xdr:rowOff>95251</xdr:rowOff>
    </xdr:to>
    <xdr:graphicFrame macro="">
      <xdr:nvGraphicFramePr>
        <xdr:cNvPr id="16" name="Chart 15">
          <a:extLst>
            <a:ext uri="{FF2B5EF4-FFF2-40B4-BE49-F238E27FC236}">
              <a16:creationId xmlns:a16="http://schemas.microsoft.com/office/drawing/2014/main" xmlns=""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40822</xdr:colOff>
      <xdr:row>592</xdr:row>
      <xdr:rowOff>82322</xdr:rowOff>
    </xdr:from>
    <xdr:to>
      <xdr:col>23</xdr:col>
      <xdr:colOff>704850</xdr:colOff>
      <xdr:row>615</xdr:row>
      <xdr:rowOff>104775</xdr:rowOff>
    </xdr:to>
    <xdr:graphicFrame macro="">
      <xdr:nvGraphicFramePr>
        <xdr:cNvPr id="17" name="Chart 16">
          <a:extLst>
            <a:ext uri="{FF2B5EF4-FFF2-40B4-BE49-F238E27FC236}">
              <a16:creationId xmlns:a16="http://schemas.microsoft.com/office/drawing/2014/main" xmlns=""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61231</xdr:colOff>
      <xdr:row>718</xdr:row>
      <xdr:rowOff>0</xdr:rowOff>
    </xdr:from>
    <xdr:to>
      <xdr:col>25</xdr:col>
      <xdr:colOff>88446</xdr:colOff>
      <xdr:row>718</xdr:row>
      <xdr:rowOff>0</xdr:rowOff>
    </xdr:to>
    <xdr:graphicFrame macro="">
      <xdr:nvGraphicFramePr>
        <xdr:cNvPr id="18" name="Chart 17">
          <a:extLst>
            <a:ext uri="{FF2B5EF4-FFF2-40B4-BE49-F238E27FC236}">
              <a16:creationId xmlns:a16="http://schemas.microsoft.com/office/drawing/2014/main" xmlns=""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108177</xdr:colOff>
      <xdr:row>626</xdr:row>
      <xdr:rowOff>70077</xdr:rowOff>
    </xdr:from>
    <xdr:to>
      <xdr:col>24</xdr:col>
      <xdr:colOff>733425</xdr:colOff>
      <xdr:row>649</xdr:row>
      <xdr:rowOff>161925</xdr:rowOff>
    </xdr:to>
    <xdr:graphicFrame macro="">
      <xdr:nvGraphicFramePr>
        <xdr:cNvPr id="19" name="Chart 18">
          <a:extLst>
            <a:ext uri="{FF2B5EF4-FFF2-40B4-BE49-F238E27FC236}">
              <a16:creationId xmlns:a16="http://schemas.microsoft.com/office/drawing/2014/main" xmlns=""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17</xdr:col>
      <xdr:colOff>61232</xdr:colOff>
      <xdr:row>751</xdr:row>
      <xdr:rowOff>0</xdr:rowOff>
    </xdr:from>
    <xdr:to>
      <xdr:col>25</xdr:col>
      <xdr:colOff>88446</xdr:colOff>
      <xdr:row>751</xdr:row>
      <xdr:rowOff>0</xdr:rowOff>
    </xdr:to>
    <xdr:graphicFrame macro="">
      <xdr:nvGraphicFramePr>
        <xdr:cNvPr id="20" name="Chart 19">
          <a:extLst>
            <a:ext uri="{FF2B5EF4-FFF2-40B4-BE49-F238E27FC236}">
              <a16:creationId xmlns:a16="http://schemas.microsoft.com/office/drawing/2014/main" xmlns=""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xdr:col>
      <xdr:colOff>138113</xdr:colOff>
      <xdr:row>758</xdr:row>
      <xdr:rowOff>77561</xdr:rowOff>
    </xdr:from>
    <xdr:to>
      <xdr:col>23</xdr:col>
      <xdr:colOff>695325</xdr:colOff>
      <xdr:row>777</xdr:row>
      <xdr:rowOff>57151</xdr:rowOff>
    </xdr:to>
    <xdr:graphicFrame macro="">
      <xdr:nvGraphicFramePr>
        <xdr:cNvPr id="21" name="Chart 20">
          <a:extLst>
            <a:ext uri="{FF2B5EF4-FFF2-40B4-BE49-F238E27FC236}">
              <a16:creationId xmlns:a16="http://schemas.microsoft.com/office/drawing/2014/main" xmlns=""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17</xdr:col>
      <xdr:colOff>85725</xdr:colOff>
      <xdr:row>289</xdr:row>
      <xdr:rowOff>57150</xdr:rowOff>
    </xdr:from>
    <xdr:to>
      <xdr:col>23</xdr:col>
      <xdr:colOff>723900</xdr:colOff>
      <xdr:row>315</xdr:row>
      <xdr:rowOff>66675</xdr:rowOff>
    </xdr:to>
    <xdr:graphicFrame macro="">
      <xdr:nvGraphicFramePr>
        <xdr:cNvPr id="24" name="Chart 23">
          <a:extLst>
            <a:ext uri="{FF2B5EF4-FFF2-40B4-BE49-F238E27FC236}">
              <a16:creationId xmlns:a16="http://schemas.microsoft.com/office/drawing/2014/main" xmlns=""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26</xdr:col>
      <xdr:colOff>108177</xdr:colOff>
      <xdr:row>49</xdr:row>
      <xdr:rowOff>34698</xdr:rowOff>
    </xdr:from>
    <xdr:to>
      <xdr:col>32</xdr:col>
      <xdr:colOff>723900</xdr:colOff>
      <xdr:row>74</xdr:row>
      <xdr:rowOff>161925</xdr:rowOff>
    </xdr:to>
    <xdr:graphicFrame macro="">
      <xdr:nvGraphicFramePr>
        <xdr:cNvPr id="25" name="Chart 24">
          <a:extLst>
            <a:ext uri="{FF2B5EF4-FFF2-40B4-BE49-F238E27FC236}">
              <a16:creationId xmlns:a16="http://schemas.microsoft.com/office/drawing/2014/main" xmlns=""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26</xdr:col>
      <xdr:colOff>63954</xdr:colOff>
      <xdr:row>84</xdr:row>
      <xdr:rowOff>98651</xdr:rowOff>
    </xdr:from>
    <xdr:to>
      <xdr:col>32</xdr:col>
      <xdr:colOff>714376</xdr:colOff>
      <xdr:row>108</xdr:row>
      <xdr:rowOff>85725</xdr:rowOff>
    </xdr:to>
    <xdr:graphicFrame macro="">
      <xdr:nvGraphicFramePr>
        <xdr:cNvPr id="26" name="Chart 25">
          <a:extLst>
            <a:ext uri="{FF2B5EF4-FFF2-40B4-BE49-F238E27FC236}">
              <a16:creationId xmlns:a16="http://schemas.microsoft.com/office/drawing/2014/main" xmlns=""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35</xdr:col>
      <xdr:colOff>66675</xdr:colOff>
      <xdr:row>17</xdr:row>
      <xdr:rowOff>142875</xdr:rowOff>
    </xdr:from>
    <xdr:to>
      <xdr:col>41</xdr:col>
      <xdr:colOff>714375</xdr:colOff>
      <xdr:row>39</xdr:row>
      <xdr:rowOff>171450</xdr:rowOff>
    </xdr:to>
    <xdr:graphicFrame macro="">
      <xdr:nvGraphicFramePr>
        <xdr:cNvPr id="28" name="Chart 27">
          <a:extLst>
            <a:ext uri="{FF2B5EF4-FFF2-40B4-BE49-F238E27FC236}">
              <a16:creationId xmlns:a16="http://schemas.microsoft.com/office/drawing/2014/main" xmlns=""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35</xdr:col>
      <xdr:colOff>138111</xdr:colOff>
      <xdr:row>51</xdr:row>
      <xdr:rowOff>123825</xdr:rowOff>
    </xdr:from>
    <xdr:to>
      <xdr:col>41</xdr:col>
      <xdr:colOff>695324</xdr:colOff>
      <xdr:row>74</xdr:row>
      <xdr:rowOff>38100</xdr:rowOff>
    </xdr:to>
    <xdr:graphicFrame macro="">
      <xdr:nvGraphicFramePr>
        <xdr:cNvPr id="29" name="Chart 28">
          <a:extLst>
            <a:ext uri="{FF2B5EF4-FFF2-40B4-BE49-F238E27FC236}">
              <a16:creationId xmlns:a16="http://schemas.microsoft.com/office/drawing/2014/main" xmlns=""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26</xdr:col>
      <xdr:colOff>85045</xdr:colOff>
      <xdr:row>154</xdr:row>
      <xdr:rowOff>129948</xdr:rowOff>
    </xdr:from>
    <xdr:to>
      <xdr:col>33</xdr:col>
      <xdr:colOff>66675</xdr:colOff>
      <xdr:row>177</xdr:row>
      <xdr:rowOff>95249</xdr:rowOff>
    </xdr:to>
    <xdr:graphicFrame macro="">
      <xdr:nvGraphicFramePr>
        <xdr:cNvPr id="31" name="Chart 30">
          <a:extLst>
            <a:ext uri="{FF2B5EF4-FFF2-40B4-BE49-F238E27FC236}">
              <a16:creationId xmlns:a16="http://schemas.microsoft.com/office/drawing/2014/main" xmlns=""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35</xdr:col>
      <xdr:colOff>38101</xdr:colOff>
      <xdr:row>186</xdr:row>
      <xdr:rowOff>118382</xdr:rowOff>
    </xdr:from>
    <xdr:to>
      <xdr:col>41</xdr:col>
      <xdr:colOff>742951</xdr:colOff>
      <xdr:row>211</xdr:row>
      <xdr:rowOff>85725</xdr:rowOff>
    </xdr:to>
    <xdr:graphicFrame macro="">
      <xdr:nvGraphicFramePr>
        <xdr:cNvPr id="33" name="Chart 32">
          <a:extLst>
            <a:ext uri="{FF2B5EF4-FFF2-40B4-BE49-F238E27FC236}">
              <a16:creationId xmlns:a16="http://schemas.microsoft.com/office/drawing/2014/main" xmlns=""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35</xdr:col>
      <xdr:colOff>130630</xdr:colOff>
      <xdr:row>221</xdr:row>
      <xdr:rowOff>104776</xdr:rowOff>
    </xdr:from>
    <xdr:to>
      <xdr:col>41</xdr:col>
      <xdr:colOff>723900</xdr:colOff>
      <xdr:row>245</xdr:row>
      <xdr:rowOff>85725</xdr:rowOff>
    </xdr:to>
    <xdr:graphicFrame macro="">
      <xdr:nvGraphicFramePr>
        <xdr:cNvPr id="34" name="Chart 33">
          <a:extLst>
            <a:ext uri="{FF2B5EF4-FFF2-40B4-BE49-F238E27FC236}">
              <a16:creationId xmlns:a16="http://schemas.microsoft.com/office/drawing/2014/main" xmlns=""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35</xdr:col>
      <xdr:colOff>76199</xdr:colOff>
      <xdr:row>255</xdr:row>
      <xdr:rowOff>123825</xdr:rowOff>
    </xdr:from>
    <xdr:to>
      <xdr:col>41</xdr:col>
      <xdr:colOff>638174</xdr:colOff>
      <xdr:row>279</xdr:row>
      <xdr:rowOff>142875</xdr:rowOff>
    </xdr:to>
    <xdr:graphicFrame macro="">
      <xdr:nvGraphicFramePr>
        <xdr:cNvPr id="35" name="Chart 34">
          <a:extLst>
            <a:ext uri="{FF2B5EF4-FFF2-40B4-BE49-F238E27FC236}">
              <a16:creationId xmlns:a16="http://schemas.microsoft.com/office/drawing/2014/main" xmlns="" id="{00000000-0008-0000-04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17</xdr:col>
      <xdr:colOff>111578</xdr:colOff>
      <xdr:row>87</xdr:row>
      <xdr:rowOff>98651</xdr:rowOff>
    </xdr:from>
    <xdr:to>
      <xdr:col>23</xdr:col>
      <xdr:colOff>733425</xdr:colOff>
      <xdr:row>110</xdr:row>
      <xdr:rowOff>104775</xdr:rowOff>
    </xdr:to>
    <xdr:graphicFrame macro="">
      <xdr:nvGraphicFramePr>
        <xdr:cNvPr id="37" name="Chart 36">
          <a:extLst>
            <a:ext uri="{FF2B5EF4-FFF2-40B4-BE49-F238E27FC236}">
              <a16:creationId xmlns:a16="http://schemas.microsoft.com/office/drawing/2014/main" xmlns="" id="{00000000-0008-0000-04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17</xdr:col>
      <xdr:colOff>53069</xdr:colOff>
      <xdr:row>155</xdr:row>
      <xdr:rowOff>73480</xdr:rowOff>
    </xdr:from>
    <xdr:to>
      <xdr:col>24</xdr:col>
      <xdr:colOff>19050</xdr:colOff>
      <xdr:row>178</xdr:row>
      <xdr:rowOff>152400</xdr:rowOff>
    </xdr:to>
    <xdr:graphicFrame macro="">
      <xdr:nvGraphicFramePr>
        <xdr:cNvPr id="39" name="Chart 38">
          <a:extLst>
            <a:ext uri="{FF2B5EF4-FFF2-40B4-BE49-F238E27FC236}">
              <a16:creationId xmlns:a16="http://schemas.microsoft.com/office/drawing/2014/main" xmlns="" id="{00000000-0008-0000-04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26</xdr:col>
      <xdr:colOff>66675</xdr:colOff>
      <xdr:row>16</xdr:row>
      <xdr:rowOff>60960</xdr:rowOff>
    </xdr:from>
    <xdr:to>
      <xdr:col>32</xdr:col>
      <xdr:colOff>742950</xdr:colOff>
      <xdr:row>40</xdr:row>
      <xdr:rowOff>19050</xdr:rowOff>
    </xdr:to>
    <xdr:graphicFrame macro="">
      <xdr:nvGraphicFramePr>
        <xdr:cNvPr id="40" name="Chart 39">
          <a:extLst>
            <a:ext uri="{FF2B5EF4-FFF2-40B4-BE49-F238E27FC236}">
              <a16:creationId xmlns:a16="http://schemas.microsoft.com/office/drawing/2014/main" xmlns="" id="{00000000-0008-0000-04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17</xdr:col>
      <xdr:colOff>142874</xdr:colOff>
      <xdr:row>419</xdr:row>
      <xdr:rowOff>0</xdr:rowOff>
    </xdr:from>
    <xdr:to>
      <xdr:col>25</xdr:col>
      <xdr:colOff>170088</xdr:colOff>
      <xdr:row>419</xdr:row>
      <xdr:rowOff>0</xdr:rowOff>
    </xdr:to>
    <xdr:graphicFrame macro="">
      <xdr:nvGraphicFramePr>
        <xdr:cNvPr id="42" name="Chart 41">
          <a:extLst>
            <a:ext uri="{FF2B5EF4-FFF2-40B4-BE49-F238E27FC236}">
              <a16:creationId xmlns:a16="http://schemas.microsoft.com/office/drawing/2014/main" xmlns="" id="{00000000-0008-0000-04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17</xdr:col>
      <xdr:colOff>70757</xdr:colOff>
      <xdr:row>659</xdr:row>
      <xdr:rowOff>80962</xdr:rowOff>
    </xdr:from>
    <xdr:to>
      <xdr:col>23</xdr:col>
      <xdr:colOff>733425</xdr:colOff>
      <xdr:row>681</xdr:row>
      <xdr:rowOff>180975</xdr:rowOff>
    </xdr:to>
    <xdr:graphicFrame macro="">
      <xdr:nvGraphicFramePr>
        <xdr:cNvPr id="44" name="Chart 43">
          <a:extLst>
            <a:ext uri="{FF2B5EF4-FFF2-40B4-BE49-F238E27FC236}">
              <a16:creationId xmlns:a16="http://schemas.microsoft.com/office/drawing/2014/main" xmlns="" id="{00000000-0008-0000-04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29028</xdr:colOff>
      <xdr:row>119</xdr:row>
      <xdr:rowOff>87088</xdr:rowOff>
    </xdr:from>
    <xdr:to>
      <xdr:col>8</xdr:col>
      <xdr:colOff>66675</xdr:colOff>
      <xdr:row>142</xdr:row>
      <xdr:rowOff>180976</xdr:rowOff>
    </xdr:to>
    <xdr:graphicFrame macro="">
      <xdr:nvGraphicFramePr>
        <xdr:cNvPr id="49" name="Chart 48">
          <a:extLst>
            <a:ext uri="{FF2B5EF4-FFF2-40B4-BE49-F238E27FC236}">
              <a16:creationId xmlns:a16="http://schemas.microsoft.com/office/drawing/2014/main" xmlns="" id="{00000000-0008-0000-04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26</xdr:col>
      <xdr:colOff>24494</xdr:colOff>
      <xdr:row>523</xdr:row>
      <xdr:rowOff>64635</xdr:rowOff>
    </xdr:from>
    <xdr:to>
      <xdr:col>32</xdr:col>
      <xdr:colOff>676275</xdr:colOff>
      <xdr:row>547</xdr:row>
      <xdr:rowOff>95250</xdr:rowOff>
    </xdr:to>
    <xdr:graphicFrame macro="">
      <xdr:nvGraphicFramePr>
        <xdr:cNvPr id="50" name="Chart 49">
          <a:extLst>
            <a:ext uri="{FF2B5EF4-FFF2-40B4-BE49-F238E27FC236}">
              <a16:creationId xmlns:a16="http://schemas.microsoft.com/office/drawing/2014/main" xmlns="" id="{00000000-0008-0000-04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26</xdr:col>
      <xdr:colOff>24494</xdr:colOff>
      <xdr:row>490</xdr:row>
      <xdr:rowOff>64635</xdr:rowOff>
    </xdr:from>
    <xdr:to>
      <xdr:col>32</xdr:col>
      <xdr:colOff>723900</xdr:colOff>
      <xdr:row>512</xdr:row>
      <xdr:rowOff>171450</xdr:rowOff>
    </xdr:to>
    <xdr:graphicFrame macro="">
      <xdr:nvGraphicFramePr>
        <xdr:cNvPr id="51" name="Chart 50">
          <a:extLst>
            <a:ext uri="{FF2B5EF4-FFF2-40B4-BE49-F238E27FC236}">
              <a16:creationId xmlns:a16="http://schemas.microsoft.com/office/drawing/2014/main" xmlns="" id="{00000000-0008-0000-04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26</xdr:col>
      <xdr:colOff>100694</xdr:colOff>
      <xdr:row>189</xdr:row>
      <xdr:rowOff>63954</xdr:rowOff>
    </xdr:from>
    <xdr:to>
      <xdr:col>33</xdr:col>
      <xdr:colOff>704850</xdr:colOff>
      <xdr:row>211</xdr:row>
      <xdr:rowOff>66675</xdr:rowOff>
    </xdr:to>
    <xdr:graphicFrame macro="">
      <xdr:nvGraphicFramePr>
        <xdr:cNvPr id="54" name="Chart 53">
          <a:extLst>
            <a:ext uri="{FF2B5EF4-FFF2-40B4-BE49-F238E27FC236}">
              <a16:creationId xmlns:a16="http://schemas.microsoft.com/office/drawing/2014/main" xmlns="" id="{00000000-0008-0000-04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26</xdr:col>
      <xdr:colOff>81643</xdr:colOff>
      <xdr:row>223</xdr:row>
      <xdr:rowOff>44905</xdr:rowOff>
    </xdr:from>
    <xdr:to>
      <xdr:col>33</xdr:col>
      <xdr:colOff>600074</xdr:colOff>
      <xdr:row>245</xdr:row>
      <xdr:rowOff>114300</xdr:rowOff>
    </xdr:to>
    <xdr:graphicFrame macro="">
      <xdr:nvGraphicFramePr>
        <xdr:cNvPr id="56" name="Chart 55">
          <a:extLst>
            <a:ext uri="{FF2B5EF4-FFF2-40B4-BE49-F238E27FC236}">
              <a16:creationId xmlns:a16="http://schemas.microsoft.com/office/drawing/2014/main" xmlns="" id="{00000000-0008-0000-04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26</xdr:col>
      <xdr:colOff>62594</xdr:colOff>
      <xdr:row>117</xdr:row>
      <xdr:rowOff>73478</xdr:rowOff>
    </xdr:from>
    <xdr:to>
      <xdr:col>32</xdr:col>
      <xdr:colOff>762000</xdr:colOff>
      <xdr:row>143</xdr:row>
      <xdr:rowOff>133349</xdr:rowOff>
    </xdr:to>
    <xdr:graphicFrame macro="">
      <xdr:nvGraphicFramePr>
        <xdr:cNvPr id="59" name="Chart 58">
          <a:extLst>
            <a:ext uri="{FF2B5EF4-FFF2-40B4-BE49-F238E27FC236}">
              <a16:creationId xmlns:a16="http://schemas.microsoft.com/office/drawing/2014/main" xmlns="" id="{00000000-0008-0000-0400-00003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17</xdr:col>
      <xdr:colOff>29936</xdr:colOff>
      <xdr:row>121</xdr:row>
      <xdr:rowOff>44223</xdr:rowOff>
    </xdr:from>
    <xdr:to>
      <xdr:col>23</xdr:col>
      <xdr:colOff>771525</xdr:colOff>
      <xdr:row>144</xdr:row>
      <xdr:rowOff>85725</xdr:rowOff>
    </xdr:to>
    <xdr:graphicFrame macro="">
      <xdr:nvGraphicFramePr>
        <xdr:cNvPr id="60" name="Chart 59">
          <a:extLst>
            <a:ext uri="{FF2B5EF4-FFF2-40B4-BE49-F238E27FC236}">
              <a16:creationId xmlns:a16="http://schemas.microsoft.com/office/drawing/2014/main" xmlns="" id="{00000000-0008-0000-0400-00003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17</xdr:col>
      <xdr:colOff>123144</xdr:colOff>
      <xdr:row>816</xdr:row>
      <xdr:rowOff>78240</xdr:rowOff>
    </xdr:from>
    <xdr:to>
      <xdr:col>23</xdr:col>
      <xdr:colOff>752475</xdr:colOff>
      <xdr:row>838</xdr:row>
      <xdr:rowOff>104775</xdr:rowOff>
    </xdr:to>
    <xdr:graphicFrame macro="">
      <xdr:nvGraphicFramePr>
        <xdr:cNvPr id="53" name="Chart 52">
          <a:extLst>
            <a:ext uri="{FF2B5EF4-FFF2-40B4-BE49-F238E27FC236}">
              <a16:creationId xmlns:a16="http://schemas.microsoft.com/office/drawing/2014/main" xmlns="" id="{00000000-0008-0000-04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17</xdr:col>
      <xdr:colOff>43544</xdr:colOff>
      <xdr:row>190</xdr:row>
      <xdr:rowOff>44904</xdr:rowOff>
    </xdr:from>
    <xdr:to>
      <xdr:col>23</xdr:col>
      <xdr:colOff>762000</xdr:colOff>
      <xdr:row>213</xdr:row>
      <xdr:rowOff>76200</xdr:rowOff>
    </xdr:to>
    <xdr:graphicFrame macro="">
      <xdr:nvGraphicFramePr>
        <xdr:cNvPr id="57" name="Chart 56">
          <a:extLst>
            <a:ext uri="{FF2B5EF4-FFF2-40B4-BE49-F238E27FC236}">
              <a16:creationId xmlns:a16="http://schemas.microsoft.com/office/drawing/2014/main" xmlns="" id="{00000000-0008-0000-04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17</xdr:col>
      <xdr:colOff>14969</xdr:colOff>
      <xdr:row>257</xdr:row>
      <xdr:rowOff>35380</xdr:rowOff>
    </xdr:from>
    <xdr:to>
      <xdr:col>24</xdr:col>
      <xdr:colOff>0</xdr:colOff>
      <xdr:row>280</xdr:row>
      <xdr:rowOff>66676</xdr:rowOff>
    </xdr:to>
    <xdr:graphicFrame macro="">
      <xdr:nvGraphicFramePr>
        <xdr:cNvPr id="58" name="Chart 57">
          <a:extLst>
            <a:ext uri="{FF2B5EF4-FFF2-40B4-BE49-F238E27FC236}">
              <a16:creationId xmlns:a16="http://schemas.microsoft.com/office/drawing/2014/main" xmlns="" id="{00000000-0008-0000-0400-00003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17</xdr:col>
      <xdr:colOff>77834</xdr:colOff>
      <xdr:row>324</xdr:row>
      <xdr:rowOff>116476</xdr:rowOff>
    </xdr:from>
    <xdr:to>
      <xdr:col>24</xdr:col>
      <xdr:colOff>106680</xdr:colOff>
      <xdr:row>348</xdr:row>
      <xdr:rowOff>171994</xdr:rowOff>
    </xdr:to>
    <xdr:graphicFrame macro="">
      <xdr:nvGraphicFramePr>
        <xdr:cNvPr id="62" name="Chart 61">
          <a:extLst>
            <a:ext uri="{FF2B5EF4-FFF2-40B4-BE49-F238E27FC236}">
              <a16:creationId xmlns:a16="http://schemas.microsoft.com/office/drawing/2014/main" xmlns="" id="{00000000-0008-0000-04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35</xdr:col>
      <xdr:colOff>104776</xdr:colOff>
      <xdr:row>86</xdr:row>
      <xdr:rowOff>57150</xdr:rowOff>
    </xdr:from>
    <xdr:to>
      <xdr:col>41</xdr:col>
      <xdr:colOff>657226</xdr:colOff>
      <xdr:row>108</xdr:row>
      <xdr:rowOff>38100</xdr:rowOff>
    </xdr:to>
    <xdr:graphicFrame macro="">
      <xdr:nvGraphicFramePr>
        <xdr:cNvPr id="61" name="Chart 60">
          <a:extLst>
            <a:ext uri="{FF2B5EF4-FFF2-40B4-BE49-F238E27FC236}">
              <a16:creationId xmlns:a16="http://schemas.microsoft.com/office/drawing/2014/main" xmlns="" id="{00000000-0008-0000-04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35</xdr:col>
      <xdr:colOff>90488</xdr:colOff>
      <xdr:row>119</xdr:row>
      <xdr:rowOff>42864</xdr:rowOff>
    </xdr:from>
    <xdr:to>
      <xdr:col>41</xdr:col>
      <xdr:colOff>714375</xdr:colOff>
      <xdr:row>143</xdr:row>
      <xdr:rowOff>28576</xdr:rowOff>
    </xdr:to>
    <xdr:graphicFrame macro="">
      <xdr:nvGraphicFramePr>
        <xdr:cNvPr id="63" name="Chart 62">
          <a:extLst>
            <a:ext uri="{FF2B5EF4-FFF2-40B4-BE49-F238E27FC236}">
              <a16:creationId xmlns:a16="http://schemas.microsoft.com/office/drawing/2014/main" xmlns="" id="{00000000-0008-0000-04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35</xdr:col>
      <xdr:colOff>85725</xdr:colOff>
      <xdr:row>154</xdr:row>
      <xdr:rowOff>51707</xdr:rowOff>
    </xdr:from>
    <xdr:to>
      <xdr:col>41</xdr:col>
      <xdr:colOff>733425</xdr:colOff>
      <xdr:row>176</xdr:row>
      <xdr:rowOff>171450</xdr:rowOff>
    </xdr:to>
    <xdr:graphicFrame macro="">
      <xdr:nvGraphicFramePr>
        <xdr:cNvPr id="64" name="Chart 63">
          <a:extLst>
            <a:ext uri="{FF2B5EF4-FFF2-40B4-BE49-F238E27FC236}">
              <a16:creationId xmlns:a16="http://schemas.microsoft.com/office/drawing/2014/main" xmlns="" id="{00000000-0008-0000-0400-00004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26</xdr:col>
      <xdr:colOff>81644</xdr:colOff>
      <xdr:row>257</xdr:row>
      <xdr:rowOff>44905</xdr:rowOff>
    </xdr:from>
    <xdr:to>
      <xdr:col>33</xdr:col>
      <xdr:colOff>600075</xdr:colOff>
      <xdr:row>279</xdr:row>
      <xdr:rowOff>95250</xdr:rowOff>
    </xdr:to>
    <xdr:graphicFrame macro="">
      <xdr:nvGraphicFramePr>
        <xdr:cNvPr id="55" name="Chart 54">
          <a:extLst>
            <a:ext uri="{FF2B5EF4-FFF2-40B4-BE49-F238E27FC236}">
              <a16:creationId xmlns:a16="http://schemas.microsoft.com/office/drawing/2014/main" xmlns="" id="{00000000-0008-0000-04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26</xdr:col>
      <xdr:colOff>100694</xdr:colOff>
      <xdr:row>291</xdr:row>
      <xdr:rowOff>63955</xdr:rowOff>
    </xdr:from>
    <xdr:to>
      <xdr:col>33</xdr:col>
      <xdr:colOff>638175</xdr:colOff>
      <xdr:row>314</xdr:row>
      <xdr:rowOff>133351</xdr:rowOff>
    </xdr:to>
    <xdr:graphicFrame macro="">
      <xdr:nvGraphicFramePr>
        <xdr:cNvPr id="65" name="Chart 64">
          <a:extLst>
            <a:ext uri="{FF2B5EF4-FFF2-40B4-BE49-F238E27FC236}">
              <a16:creationId xmlns:a16="http://schemas.microsoft.com/office/drawing/2014/main" xmlns="" id="{00000000-0008-0000-04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26</xdr:col>
      <xdr:colOff>81644</xdr:colOff>
      <xdr:row>327</xdr:row>
      <xdr:rowOff>44905</xdr:rowOff>
    </xdr:from>
    <xdr:to>
      <xdr:col>33</xdr:col>
      <xdr:colOff>609600</xdr:colOff>
      <xdr:row>348</xdr:row>
      <xdr:rowOff>171451</xdr:rowOff>
    </xdr:to>
    <xdr:graphicFrame macro="">
      <xdr:nvGraphicFramePr>
        <xdr:cNvPr id="66" name="Chart 65">
          <a:extLst>
            <a:ext uri="{FF2B5EF4-FFF2-40B4-BE49-F238E27FC236}">
              <a16:creationId xmlns:a16="http://schemas.microsoft.com/office/drawing/2014/main" xmlns="" id="{00000000-0008-0000-04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26</xdr:col>
      <xdr:colOff>81644</xdr:colOff>
      <xdr:row>361</xdr:row>
      <xdr:rowOff>44904</xdr:rowOff>
    </xdr:from>
    <xdr:to>
      <xdr:col>33</xdr:col>
      <xdr:colOff>619125</xdr:colOff>
      <xdr:row>381</xdr:row>
      <xdr:rowOff>123825</xdr:rowOff>
    </xdr:to>
    <xdr:graphicFrame macro="">
      <xdr:nvGraphicFramePr>
        <xdr:cNvPr id="67" name="Chart 66">
          <a:extLst>
            <a:ext uri="{FF2B5EF4-FFF2-40B4-BE49-F238E27FC236}">
              <a16:creationId xmlns:a16="http://schemas.microsoft.com/office/drawing/2014/main" xmlns="" id="{00000000-0008-0000-0400-00004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26</xdr:col>
      <xdr:colOff>100694</xdr:colOff>
      <xdr:row>393</xdr:row>
      <xdr:rowOff>63954</xdr:rowOff>
    </xdr:from>
    <xdr:to>
      <xdr:col>33</xdr:col>
      <xdr:colOff>647700</xdr:colOff>
      <xdr:row>413</xdr:row>
      <xdr:rowOff>85725</xdr:rowOff>
    </xdr:to>
    <xdr:graphicFrame macro="">
      <xdr:nvGraphicFramePr>
        <xdr:cNvPr id="68" name="Chart 67">
          <a:extLst>
            <a:ext uri="{FF2B5EF4-FFF2-40B4-BE49-F238E27FC236}">
              <a16:creationId xmlns:a16="http://schemas.microsoft.com/office/drawing/2014/main" xmlns="" id="{00000000-0008-0000-0400-00004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26</xdr:col>
      <xdr:colOff>81644</xdr:colOff>
      <xdr:row>425</xdr:row>
      <xdr:rowOff>44905</xdr:rowOff>
    </xdr:from>
    <xdr:to>
      <xdr:col>33</xdr:col>
      <xdr:colOff>685800</xdr:colOff>
      <xdr:row>447</xdr:row>
      <xdr:rowOff>95251</xdr:rowOff>
    </xdr:to>
    <xdr:graphicFrame macro="">
      <xdr:nvGraphicFramePr>
        <xdr:cNvPr id="69" name="Chart 68">
          <a:extLst>
            <a:ext uri="{FF2B5EF4-FFF2-40B4-BE49-F238E27FC236}">
              <a16:creationId xmlns:a16="http://schemas.microsoft.com/office/drawing/2014/main" xmlns="" id="{00000000-0008-0000-04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26</xdr:col>
      <xdr:colOff>81644</xdr:colOff>
      <xdr:row>459</xdr:row>
      <xdr:rowOff>44905</xdr:rowOff>
    </xdr:from>
    <xdr:to>
      <xdr:col>33</xdr:col>
      <xdr:colOff>695325</xdr:colOff>
      <xdr:row>480</xdr:row>
      <xdr:rowOff>133351</xdr:rowOff>
    </xdr:to>
    <xdr:graphicFrame macro="">
      <xdr:nvGraphicFramePr>
        <xdr:cNvPr id="70" name="Chart 69">
          <a:extLst>
            <a:ext uri="{FF2B5EF4-FFF2-40B4-BE49-F238E27FC236}">
              <a16:creationId xmlns:a16="http://schemas.microsoft.com/office/drawing/2014/main" xmlns="" id="{00000000-0008-0000-04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29028</xdr:colOff>
      <xdr:row>16</xdr:row>
      <xdr:rowOff>87088</xdr:rowOff>
    </xdr:from>
    <xdr:to>
      <xdr:col>8</xdr:col>
      <xdr:colOff>66675</xdr:colOff>
      <xdr:row>39</xdr:row>
      <xdr:rowOff>180976</xdr:rowOff>
    </xdr:to>
    <xdr:graphicFrame macro="">
      <xdr:nvGraphicFramePr>
        <xdr:cNvPr id="71" name="Chart 70">
          <a:extLst>
            <a:ext uri="{FF2B5EF4-FFF2-40B4-BE49-F238E27FC236}">
              <a16:creationId xmlns:a16="http://schemas.microsoft.com/office/drawing/2014/main" xmlns="" id="{00000000-0008-0000-0400-00004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xdr:col>
      <xdr:colOff>29028</xdr:colOff>
      <xdr:row>50</xdr:row>
      <xdr:rowOff>87088</xdr:rowOff>
    </xdr:from>
    <xdr:to>
      <xdr:col>8</xdr:col>
      <xdr:colOff>66675</xdr:colOff>
      <xdr:row>73</xdr:row>
      <xdr:rowOff>180976</xdr:rowOff>
    </xdr:to>
    <xdr:graphicFrame macro="">
      <xdr:nvGraphicFramePr>
        <xdr:cNvPr id="72" name="Chart 71">
          <a:extLst>
            <a:ext uri="{FF2B5EF4-FFF2-40B4-BE49-F238E27FC236}">
              <a16:creationId xmlns:a16="http://schemas.microsoft.com/office/drawing/2014/main" xmlns="" id="{00000000-0008-0000-04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xdr:col>
      <xdr:colOff>29028</xdr:colOff>
      <xdr:row>85</xdr:row>
      <xdr:rowOff>106680</xdr:rowOff>
    </xdr:from>
    <xdr:to>
      <xdr:col>8</xdr:col>
      <xdr:colOff>66675</xdr:colOff>
      <xdr:row>108</xdr:row>
      <xdr:rowOff>180976</xdr:rowOff>
    </xdr:to>
    <xdr:graphicFrame macro="">
      <xdr:nvGraphicFramePr>
        <xdr:cNvPr id="73" name="Chart 72">
          <a:extLst>
            <a:ext uri="{FF2B5EF4-FFF2-40B4-BE49-F238E27FC236}">
              <a16:creationId xmlns:a16="http://schemas.microsoft.com/office/drawing/2014/main" xmlns="" id="{00000000-0008-0000-0400-00004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17</xdr:col>
      <xdr:colOff>123144</xdr:colOff>
      <xdr:row>692</xdr:row>
      <xdr:rowOff>78239</xdr:rowOff>
    </xdr:from>
    <xdr:to>
      <xdr:col>23</xdr:col>
      <xdr:colOff>752475</xdr:colOff>
      <xdr:row>714</xdr:row>
      <xdr:rowOff>104775</xdr:rowOff>
    </xdr:to>
    <xdr:graphicFrame macro="">
      <xdr:nvGraphicFramePr>
        <xdr:cNvPr id="74" name="Chart 73">
          <a:extLst>
            <a:ext uri="{FF2B5EF4-FFF2-40B4-BE49-F238E27FC236}">
              <a16:creationId xmlns:a16="http://schemas.microsoft.com/office/drawing/2014/main" xmlns="" id="{D783C0BC-2EF5-4E4E-B696-4A9EBBA8F6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17</xdr:col>
      <xdr:colOff>8964</xdr:colOff>
      <xdr:row>224</xdr:row>
      <xdr:rowOff>26894</xdr:rowOff>
    </xdr:from>
    <xdr:to>
      <xdr:col>23</xdr:col>
      <xdr:colOff>727420</xdr:colOff>
      <xdr:row>247</xdr:row>
      <xdr:rowOff>58190</xdr:rowOff>
    </xdr:to>
    <xdr:graphicFrame macro="">
      <xdr:nvGraphicFramePr>
        <xdr:cNvPr id="75" name="Chart 74">
          <a:extLst>
            <a:ext uri="{FF2B5EF4-FFF2-40B4-BE49-F238E27FC236}">
              <a16:creationId xmlns:a16="http://schemas.microsoft.com/office/drawing/2014/main" xmlns="" id="{08B9708C-F9B0-43ED-85D7-175E61922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17</xdr:col>
      <xdr:colOff>0</xdr:colOff>
      <xdr:row>51</xdr:row>
      <xdr:rowOff>0</xdr:rowOff>
    </xdr:from>
    <xdr:to>
      <xdr:col>23</xdr:col>
      <xdr:colOff>732065</xdr:colOff>
      <xdr:row>75</xdr:row>
      <xdr:rowOff>12247</xdr:rowOff>
    </xdr:to>
    <xdr:graphicFrame macro="">
      <xdr:nvGraphicFramePr>
        <xdr:cNvPr id="76" name="Chart 75">
          <a:extLst>
            <a:ext uri="{FF2B5EF4-FFF2-40B4-BE49-F238E27FC236}">
              <a16:creationId xmlns:a16="http://schemas.microsoft.com/office/drawing/2014/main" xmlns="" id="{8A4643A7-97FA-43D2-BF70-16B94EFFB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17</xdr:col>
      <xdr:colOff>123144</xdr:colOff>
      <xdr:row>786</xdr:row>
      <xdr:rowOff>78240</xdr:rowOff>
    </xdr:from>
    <xdr:to>
      <xdr:col>23</xdr:col>
      <xdr:colOff>752475</xdr:colOff>
      <xdr:row>808</xdr:row>
      <xdr:rowOff>104775</xdr:rowOff>
    </xdr:to>
    <xdr:graphicFrame macro="">
      <xdr:nvGraphicFramePr>
        <xdr:cNvPr id="77" name="Chart 76">
          <a:extLst>
            <a:ext uri="{FF2B5EF4-FFF2-40B4-BE49-F238E27FC236}">
              <a16:creationId xmlns:a16="http://schemas.microsoft.com/office/drawing/2014/main" xmlns="" id="{F5E0E881-A124-4B36-BCD4-2735EB970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33</xdr:row>
      <xdr:rowOff>46808</xdr:rowOff>
    </xdr:from>
    <xdr:to>
      <xdr:col>13</xdr:col>
      <xdr:colOff>235132</xdr:colOff>
      <xdr:row>54</xdr:row>
      <xdr:rowOff>175259</xdr:rowOff>
    </xdr:to>
    <xdr:graphicFrame macro="">
      <xdr:nvGraphicFramePr>
        <xdr:cNvPr id="2" name="Chart 1">
          <a:extLst>
            <a:ext uri="{FF2B5EF4-FFF2-40B4-BE49-F238E27FC236}">
              <a16:creationId xmlns:a16="http://schemas.microsoft.com/office/drawing/2014/main" xmlns="" id="{B221CF4E-9ACB-4548-8EF7-6B02759BF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117567</xdr:colOff>
      <xdr:row>55</xdr:row>
      <xdr:rowOff>25036</xdr:rowOff>
    </xdr:from>
    <xdr:to>
      <xdr:col>13</xdr:col>
      <xdr:colOff>230779</xdr:colOff>
      <xdr:row>76</xdr:row>
      <xdr:rowOff>144779</xdr:rowOff>
    </xdr:to>
    <xdr:graphicFrame macro="">
      <xdr:nvGraphicFramePr>
        <xdr:cNvPr id="3" name="Chart 2">
          <a:extLst>
            <a:ext uri="{FF2B5EF4-FFF2-40B4-BE49-F238E27FC236}">
              <a16:creationId xmlns:a16="http://schemas.microsoft.com/office/drawing/2014/main" xmlns="" id="{12BE19F8-07EE-4D5C-8496-D254FB984E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104503</xdr:colOff>
      <xdr:row>55</xdr:row>
      <xdr:rowOff>6531</xdr:rowOff>
    </xdr:from>
    <xdr:to>
      <xdr:col>35</xdr:col>
      <xdr:colOff>343990</xdr:colOff>
      <xdr:row>76</xdr:row>
      <xdr:rowOff>126274</xdr:rowOff>
    </xdr:to>
    <xdr:graphicFrame macro="">
      <xdr:nvGraphicFramePr>
        <xdr:cNvPr id="4" name="Chart 3">
          <a:extLst>
            <a:ext uri="{FF2B5EF4-FFF2-40B4-BE49-F238E27FC236}">
              <a16:creationId xmlns:a16="http://schemas.microsoft.com/office/drawing/2014/main" xmlns="" id="{5689FEB0-0CB4-49E6-A548-81C6594F58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96883</xdr:colOff>
      <xdr:row>33</xdr:row>
      <xdr:rowOff>27215</xdr:rowOff>
    </xdr:from>
    <xdr:to>
      <xdr:col>35</xdr:col>
      <xdr:colOff>336370</xdr:colOff>
      <xdr:row>54</xdr:row>
      <xdr:rowOff>155666</xdr:rowOff>
    </xdr:to>
    <xdr:graphicFrame macro="">
      <xdr:nvGraphicFramePr>
        <xdr:cNvPr id="5" name="Chart 4">
          <a:extLst>
            <a:ext uri="{FF2B5EF4-FFF2-40B4-BE49-F238E27FC236}">
              <a16:creationId xmlns:a16="http://schemas.microsoft.com/office/drawing/2014/main" xmlns="" id="{25FBA3C0-0791-4964-B416-81AD93535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56"/>
  <sheetViews>
    <sheetView zoomScale="115" zoomScaleNormal="115" workbookViewId="0">
      <selection activeCell="J40" sqref="J40"/>
    </sheetView>
  </sheetViews>
  <sheetFormatPr defaultRowHeight="15" x14ac:dyDescent="0.25"/>
  <cols>
    <col min="2" max="2" width="13.5703125" customWidth="1"/>
    <col min="3" max="3" width="9.7109375" bestFit="1" customWidth="1"/>
    <col min="10" max="11" width="8.85546875" style="14"/>
  </cols>
  <sheetData>
    <row r="1" spans="1:27" ht="17.25" x14ac:dyDescent="0.3">
      <c r="A1" s="29" t="s">
        <v>124</v>
      </c>
      <c r="B1" s="14"/>
      <c r="C1" s="14"/>
      <c r="D1" s="14"/>
      <c r="E1" s="14"/>
      <c r="F1" s="14"/>
      <c r="G1" s="14"/>
    </row>
    <row r="2" spans="1:27" ht="17.25" x14ac:dyDescent="0.3">
      <c r="A2" s="29"/>
      <c r="B2" s="14"/>
      <c r="C2" s="14"/>
      <c r="D2" s="14"/>
      <c r="E2" s="14"/>
      <c r="F2" s="14"/>
      <c r="G2" s="14"/>
      <c r="N2" t="s">
        <v>215</v>
      </c>
    </row>
    <row r="3" spans="1:27" x14ac:dyDescent="0.25">
      <c r="B3" s="14" t="s">
        <v>125</v>
      </c>
      <c r="C3" s="14"/>
      <c r="D3" s="14"/>
      <c r="E3" s="14"/>
      <c r="F3" s="14"/>
      <c r="G3" s="14"/>
      <c r="H3" s="14"/>
      <c r="I3" s="14"/>
      <c r="L3" s="14"/>
      <c r="M3" s="14"/>
      <c r="N3" s="390"/>
      <c r="O3" s="390"/>
      <c r="P3" s="390"/>
      <c r="Q3" s="390"/>
      <c r="R3" s="390"/>
      <c r="S3" s="390"/>
      <c r="T3" s="390"/>
      <c r="U3" s="390"/>
      <c r="V3" s="390"/>
      <c r="W3" s="390"/>
      <c r="X3" s="390"/>
      <c r="Y3" s="14"/>
      <c r="Z3" s="14"/>
      <c r="AA3" s="14"/>
    </row>
    <row r="4" spans="1:27" x14ac:dyDescent="0.25">
      <c r="B4" s="307" t="s">
        <v>421</v>
      </c>
      <c r="C4" s="14"/>
      <c r="D4" s="14"/>
      <c r="E4" s="14"/>
      <c r="F4" s="14"/>
      <c r="G4" s="14"/>
      <c r="H4" s="14"/>
      <c r="I4" s="14"/>
      <c r="L4" s="14"/>
      <c r="M4" s="14"/>
      <c r="N4" s="390"/>
      <c r="O4" s="390"/>
      <c r="P4" s="390"/>
      <c r="Q4" s="390"/>
      <c r="R4" s="390"/>
      <c r="S4" s="390"/>
      <c r="T4" s="390"/>
      <c r="U4" s="390"/>
      <c r="V4" s="390"/>
      <c r="W4" s="390"/>
      <c r="X4" s="390"/>
      <c r="Y4" s="14"/>
      <c r="Z4" s="14"/>
      <c r="AA4" s="14"/>
    </row>
    <row r="5" spans="1:27" ht="15.75" thickBot="1" x14ac:dyDescent="0.3">
      <c r="A5" s="14"/>
      <c r="B5" s="14"/>
      <c r="C5" s="14"/>
      <c r="D5" s="14"/>
      <c r="E5" s="14"/>
      <c r="F5" s="14"/>
      <c r="G5" s="14"/>
      <c r="H5" s="14"/>
      <c r="I5" s="14"/>
      <c r="L5" s="14"/>
      <c r="M5" s="14"/>
      <c r="N5" s="390"/>
      <c r="O5" s="390"/>
      <c r="P5" s="390"/>
      <c r="Q5" s="390"/>
      <c r="R5" s="390"/>
      <c r="S5" s="390"/>
      <c r="T5" s="390"/>
      <c r="U5" s="390"/>
      <c r="V5" s="390"/>
      <c r="W5" s="390"/>
      <c r="X5" s="390"/>
      <c r="Y5" s="14"/>
      <c r="Z5" s="14"/>
      <c r="AA5" s="14"/>
    </row>
    <row r="6" spans="1:27" x14ac:dyDescent="0.25">
      <c r="A6" s="391" t="s">
        <v>418</v>
      </c>
      <c r="B6" s="392"/>
      <c r="C6" s="392"/>
      <c r="D6" s="392"/>
      <c r="E6" s="393"/>
      <c r="F6" s="14"/>
      <c r="G6" s="391" t="s">
        <v>419</v>
      </c>
      <c r="H6" s="392"/>
      <c r="I6" s="392"/>
      <c r="J6" s="392"/>
      <c r="K6" s="392"/>
      <c r="L6" s="393"/>
      <c r="M6" s="14"/>
      <c r="N6" s="390"/>
      <c r="O6" s="390"/>
      <c r="P6" s="390"/>
      <c r="Q6" s="390"/>
      <c r="R6" s="390"/>
      <c r="S6" s="390"/>
      <c r="T6" s="390"/>
      <c r="U6" s="390"/>
      <c r="V6" s="390"/>
      <c r="W6" s="390"/>
      <c r="X6" s="390"/>
      <c r="Y6" s="14"/>
      <c r="Z6" s="14"/>
      <c r="AA6" s="14"/>
    </row>
    <row r="7" spans="1:27" ht="15.75" thickBot="1" x14ac:dyDescent="0.3">
      <c r="A7" s="394"/>
      <c r="B7" s="395"/>
      <c r="C7" s="395"/>
      <c r="D7" s="395"/>
      <c r="E7" s="396"/>
      <c r="F7" s="14"/>
      <c r="G7" s="394"/>
      <c r="H7" s="395"/>
      <c r="I7" s="395"/>
      <c r="J7" s="395"/>
      <c r="K7" s="395"/>
      <c r="L7" s="396"/>
      <c r="M7" s="14"/>
      <c r="N7" s="390"/>
      <c r="O7" s="390"/>
      <c r="P7" s="390"/>
      <c r="Q7" s="390"/>
      <c r="R7" s="390"/>
      <c r="S7" s="390"/>
      <c r="T7" s="390"/>
      <c r="U7" s="390"/>
      <c r="V7" s="390"/>
      <c r="W7" s="390"/>
      <c r="X7" s="390"/>
      <c r="Y7" s="14"/>
      <c r="Z7" s="14"/>
      <c r="AA7" s="14"/>
    </row>
    <row r="8" spans="1:27" x14ac:dyDescent="0.25">
      <c r="A8" s="264"/>
      <c r="B8" s="21"/>
      <c r="C8" s="21"/>
      <c r="D8" s="21"/>
      <c r="E8" s="265"/>
      <c r="F8" s="14"/>
      <c r="G8" s="264"/>
      <c r="H8" s="21"/>
      <c r="I8" s="21"/>
      <c r="J8" s="21"/>
      <c r="K8" s="21"/>
      <c r="L8" s="265"/>
      <c r="M8" s="14"/>
      <c r="N8" s="390"/>
      <c r="O8" s="390"/>
      <c r="P8" s="390"/>
      <c r="Q8" s="390"/>
      <c r="R8" s="390"/>
      <c r="S8" s="390"/>
      <c r="T8" s="390"/>
      <c r="U8" s="390"/>
      <c r="V8" s="390"/>
      <c r="W8" s="390"/>
      <c r="X8" s="390"/>
      <c r="Y8" s="14"/>
      <c r="Z8" s="14"/>
      <c r="AA8" s="14"/>
    </row>
    <row r="9" spans="1:27" x14ac:dyDescent="0.25">
      <c r="A9" s="264"/>
      <c r="B9" s="21"/>
      <c r="C9" s="21"/>
      <c r="D9" s="21"/>
      <c r="E9" s="265"/>
      <c r="F9" s="14"/>
      <c r="G9" s="264"/>
      <c r="H9" s="21"/>
      <c r="I9" s="21"/>
      <c r="J9" s="21"/>
      <c r="K9" s="21"/>
      <c r="L9" s="265"/>
      <c r="M9" s="14"/>
      <c r="N9" s="390"/>
      <c r="O9" s="390"/>
      <c r="P9" s="390"/>
      <c r="Q9" s="390"/>
      <c r="R9" s="390"/>
      <c r="S9" s="390"/>
      <c r="T9" s="390"/>
      <c r="U9" s="390"/>
      <c r="V9" s="390"/>
      <c r="W9" s="390"/>
      <c r="X9" s="390"/>
      <c r="Y9" s="14"/>
      <c r="Z9" s="14"/>
      <c r="AA9" s="14"/>
    </row>
    <row r="10" spans="1:27" x14ac:dyDescent="0.25">
      <c r="A10" s="264"/>
      <c r="B10" s="21"/>
      <c r="C10" s="21"/>
      <c r="D10" s="21"/>
      <c r="E10" s="265"/>
      <c r="F10" s="14"/>
      <c r="G10" s="264"/>
      <c r="H10" s="21"/>
      <c r="I10" s="21"/>
      <c r="J10" s="21"/>
      <c r="K10" s="21"/>
      <c r="L10" s="265"/>
      <c r="M10" s="14"/>
      <c r="N10" s="390"/>
      <c r="O10" s="390"/>
      <c r="P10" s="390"/>
      <c r="Q10" s="390"/>
      <c r="R10" s="390"/>
      <c r="S10" s="390"/>
      <c r="T10" s="390"/>
      <c r="U10" s="390"/>
      <c r="V10" s="390"/>
      <c r="W10" s="390"/>
      <c r="X10" s="390"/>
      <c r="Y10" s="14"/>
      <c r="Z10" s="14"/>
      <c r="AA10" s="14"/>
    </row>
    <row r="11" spans="1:27" x14ac:dyDescent="0.25">
      <c r="A11" s="264"/>
      <c r="B11" s="21"/>
      <c r="C11" s="21"/>
      <c r="D11" s="21"/>
      <c r="E11" s="265"/>
      <c r="F11" s="14"/>
      <c r="G11" s="264"/>
      <c r="H11" s="21"/>
      <c r="I11" s="21"/>
      <c r="J11" s="21"/>
      <c r="K11" s="21"/>
      <c r="L11" s="265"/>
      <c r="M11" s="14"/>
      <c r="N11" s="390"/>
      <c r="O11" s="390"/>
      <c r="P11" s="390"/>
      <c r="Q11" s="390"/>
      <c r="R11" s="390"/>
      <c r="S11" s="390"/>
      <c r="T11" s="390"/>
      <c r="U11" s="390"/>
      <c r="V11" s="390"/>
      <c r="W11" s="390"/>
      <c r="X11" s="390"/>
      <c r="Y11" s="14"/>
      <c r="Z11" s="14"/>
      <c r="AA11" s="14"/>
    </row>
    <row r="12" spans="1:27" x14ac:dyDescent="0.25">
      <c r="A12" s="264"/>
      <c r="B12" s="21"/>
      <c r="C12" s="21"/>
      <c r="D12" s="21"/>
      <c r="E12" s="265"/>
      <c r="F12" s="14"/>
      <c r="G12" s="264"/>
      <c r="H12" s="21"/>
      <c r="I12" s="21"/>
      <c r="J12" s="21"/>
      <c r="K12" s="21"/>
      <c r="L12" s="265"/>
      <c r="M12" s="14"/>
      <c r="N12" s="390"/>
      <c r="O12" s="390"/>
      <c r="P12" s="390"/>
      <c r="Q12" s="390"/>
      <c r="R12" s="390"/>
      <c r="S12" s="390"/>
      <c r="T12" s="390"/>
      <c r="U12" s="390"/>
      <c r="V12" s="390"/>
      <c r="W12" s="390"/>
      <c r="X12" s="390"/>
      <c r="Y12" s="14"/>
      <c r="Z12" s="14"/>
      <c r="AA12" s="14"/>
    </row>
    <row r="13" spans="1:27" x14ac:dyDescent="0.25">
      <c r="A13" s="264"/>
      <c r="B13" s="21"/>
      <c r="C13" s="21"/>
      <c r="D13" s="21"/>
      <c r="E13" s="265"/>
      <c r="F13" s="14"/>
      <c r="G13" s="264"/>
      <c r="H13" s="21"/>
      <c r="I13" s="21"/>
      <c r="J13" s="21"/>
      <c r="K13" s="21"/>
      <c r="L13" s="265"/>
      <c r="M13" s="14"/>
      <c r="N13" s="390"/>
      <c r="O13" s="390"/>
      <c r="P13" s="390"/>
      <c r="Q13" s="390"/>
      <c r="R13" s="390"/>
      <c r="S13" s="390"/>
      <c r="T13" s="390"/>
      <c r="U13" s="390"/>
      <c r="V13" s="390"/>
      <c r="W13" s="390"/>
      <c r="X13" s="390"/>
      <c r="Y13" s="14"/>
      <c r="Z13" s="14"/>
      <c r="AA13" s="14"/>
    </row>
    <row r="14" spans="1:27" x14ac:dyDescent="0.25">
      <c r="A14" s="264"/>
      <c r="B14" s="21"/>
      <c r="C14" s="21"/>
      <c r="D14" s="21"/>
      <c r="E14" s="265"/>
      <c r="F14" s="14"/>
      <c r="G14" s="264"/>
      <c r="H14" s="21"/>
      <c r="I14" s="21"/>
      <c r="J14" s="21"/>
      <c r="K14" s="21"/>
      <c r="L14" s="265"/>
      <c r="M14" s="14"/>
      <c r="N14" s="390"/>
      <c r="O14" s="390"/>
      <c r="P14" s="390"/>
      <c r="Q14" s="390"/>
      <c r="R14" s="390"/>
      <c r="S14" s="390"/>
      <c r="T14" s="390"/>
      <c r="U14" s="390"/>
      <c r="V14" s="390"/>
      <c r="W14" s="390"/>
      <c r="X14" s="390"/>
      <c r="Y14" s="14"/>
      <c r="Z14" s="14"/>
      <c r="AA14" s="14"/>
    </row>
    <row r="15" spans="1:27" x14ac:dyDescent="0.25">
      <c r="A15" s="264"/>
      <c r="B15" s="21"/>
      <c r="C15" s="21"/>
      <c r="D15" s="21"/>
      <c r="E15" s="265"/>
      <c r="F15" s="14"/>
      <c r="G15" s="264"/>
      <c r="H15" s="21"/>
      <c r="I15" s="21"/>
      <c r="J15" s="21"/>
      <c r="K15" s="21"/>
      <c r="L15" s="265"/>
      <c r="M15" s="14"/>
      <c r="N15" s="390"/>
      <c r="O15" s="390"/>
      <c r="P15" s="390"/>
      <c r="Q15" s="390"/>
      <c r="R15" s="390"/>
      <c r="S15" s="390"/>
      <c r="T15" s="390"/>
      <c r="U15" s="390"/>
      <c r="V15" s="390"/>
      <c r="W15" s="390"/>
      <c r="X15" s="390"/>
      <c r="Y15" s="14"/>
      <c r="Z15" s="14"/>
      <c r="AA15" s="14"/>
    </row>
    <row r="16" spans="1:27" ht="15.75" thickBot="1" x14ac:dyDescent="0.3">
      <c r="A16" s="369"/>
      <c r="B16" s="370"/>
      <c r="C16" s="370"/>
      <c r="D16" s="370"/>
      <c r="E16" s="371"/>
      <c r="F16" s="14"/>
      <c r="G16" s="264"/>
      <c r="H16" s="21"/>
      <c r="I16" s="21"/>
      <c r="J16" s="21"/>
      <c r="K16" s="21"/>
      <c r="L16" s="265"/>
      <c r="M16" s="14"/>
      <c r="N16" s="390"/>
      <c r="O16" s="390"/>
      <c r="P16" s="390"/>
      <c r="Q16" s="390"/>
      <c r="R16" s="390"/>
      <c r="S16" s="390"/>
      <c r="T16" s="390"/>
      <c r="U16" s="390"/>
      <c r="V16" s="390"/>
      <c r="W16" s="390"/>
      <c r="X16" s="390"/>
      <c r="Y16" s="14"/>
      <c r="Z16" s="14"/>
      <c r="AA16" s="14"/>
    </row>
    <row r="17" spans="1:27" x14ac:dyDescent="0.25">
      <c r="A17" s="14"/>
      <c r="B17" s="14"/>
      <c r="C17" s="14"/>
      <c r="D17" s="14"/>
      <c r="E17" s="14"/>
      <c r="F17" s="14"/>
      <c r="G17" s="264"/>
      <c r="H17" s="21"/>
      <c r="I17" s="21"/>
      <c r="J17" s="21"/>
      <c r="K17" s="21"/>
      <c r="L17" s="265"/>
      <c r="M17" s="14"/>
      <c r="N17" s="390"/>
      <c r="O17" s="390"/>
      <c r="P17" s="390"/>
      <c r="Q17" s="390"/>
      <c r="R17" s="390"/>
      <c r="S17" s="390"/>
      <c r="T17" s="390"/>
      <c r="U17" s="390"/>
      <c r="V17" s="390"/>
      <c r="W17" s="390"/>
      <c r="X17" s="390"/>
      <c r="Y17" s="14"/>
      <c r="Z17" s="14"/>
      <c r="AA17" s="14"/>
    </row>
    <row r="18" spans="1:27" ht="15.75" thickBot="1" x14ac:dyDescent="0.3">
      <c r="A18" s="14"/>
      <c r="B18" s="14"/>
      <c r="C18" s="14"/>
      <c r="D18" s="14"/>
      <c r="E18" s="14"/>
      <c r="F18" s="14"/>
      <c r="G18" s="264"/>
      <c r="H18" s="21"/>
      <c r="I18" s="21"/>
      <c r="J18" s="21"/>
      <c r="K18" s="21"/>
      <c r="L18" s="265"/>
      <c r="M18" s="14"/>
      <c r="N18" s="390"/>
      <c r="O18" s="390"/>
      <c r="P18" s="390"/>
      <c r="Q18" s="390"/>
      <c r="R18" s="390"/>
      <c r="S18" s="390"/>
      <c r="T18" s="390"/>
      <c r="U18" s="390"/>
      <c r="V18" s="390"/>
      <c r="W18" s="390"/>
      <c r="X18" s="390"/>
      <c r="Y18" s="14"/>
      <c r="Z18" s="14"/>
      <c r="AA18" s="14"/>
    </row>
    <row r="19" spans="1:27" x14ac:dyDescent="0.25">
      <c r="A19" s="391" t="s">
        <v>420</v>
      </c>
      <c r="B19" s="392"/>
      <c r="C19" s="392"/>
      <c r="D19" s="392"/>
      <c r="E19" s="393"/>
      <c r="F19" s="14"/>
      <c r="G19" s="264"/>
      <c r="H19" s="21"/>
      <c r="I19" s="21"/>
      <c r="J19" s="21"/>
      <c r="K19" s="21"/>
      <c r="L19" s="265"/>
      <c r="M19" s="14"/>
      <c r="N19" s="390"/>
      <c r="O19" s="390"/>
      <c r="P19" s="390"/>
      <c r="Q19" s="390"/>
      <c r="R19" s="390"/>
      <c r="S19" s="390"/>
      <c r="T19" s="390"/>
      <c r="U19" s="390"/>
      <c r="V19" s="390"/>
      <c r="W19" s="390"/>
      <c r="X19" s="390"/>
      <c r="Y19" s="14"/>
      <c r="Z19" s="14"/>
      <c r="AA19" s="14"/>
    </row>
    <row r="20" spans="1:27" ht="15.75" thickBot="1" x14ac:dyDescent="0.3">
      <c r="A20" s="394"/>
      <c r="B20" s="395"/>
      <c r="C20" s="395"/>
      <c r="D20" s="395"/>
      <c r="E20" s="396"/>
      <c r="F20" s="14"/>
      <c r="G20" s="264"/>
      <c r="H20" s="21"/>
      <c r="I20" s="21"/>
      <c r="J20" s="21"/>
      <c r="K20" s="21"/>
      <c r="L20" s="265"/>
      <c r="M20" s="14"/>
      <c r="N20" s="390"/>
      <c r="O20" s="390"/>
      <c r="P20" s="390"/>
      <c r="Q20" s="390"/>
      <c r="R20" s="390"/>
      <c r="S20" s="390"/>
      <c r="T20" s="390"/>
      <c r="U20" s="390"/>
      <c r="V20" s="390"/>
      <c r="W20" s="390"/>
      <c r="X20" s="390"/>
      <c r="Y20" s="14"/>
      <c r="Z20" s="14"/>
      <c r="AA20" s="14"/>
    </row>
    <row r="21" spans="1:27" x14ac:dyDescent="0.25">
      <c r="A21" s="264"/>
      <c r="B21" s="21"/>
      <c r="C21" s="21"/>
      <c r="D21" s="21"/>
      <c r="E21" s="265"/>
      <c r="F21" s="14"/>
      <c r="G21" s="264"/>
      <c r="H21" s="21"/>
      <c r="I21" s="21"/>
      <c r="J21" s="21"/>
      <c r="K21" s="21"/>
      <c r="L21" s="265"/>
      <c r="M21" s="14"/>
      <c r="N21" s="390"/>
      <c r="O21" s="390"/>
      <c r="P21" s="390"/>
      <c r="Q21" s="390"/>
      <c r="R21" s="390"/>
      <c r="S21" s="390"/>
      <c r="T21" s="390"/>
      <c r="U21" s="390"/>
      <c r="V21" s="390"/>
      <c r="W21" s="390"/>
      <c r="X21" s="390"/>
      <c r="Y21" s="14"/>
      <c r="Z21" s="14"/>
      <c r="AA21" s="14"/>
    </row>
    <row r="22" spans="1:27" x14ac:dyDescent="0.25">
      <c r="A22" s="264"/>
      <c r="B22" s="21"/>
      <c r="C22" s="21"/>
      <c r="D22" s="21"/>
      <c r="E22" s="265"/>
      <c r="F22" s="14"/>
      <c r="G22" s="264"/>
      <c r="H22" s="21"/>
      <c r="I22" s="21"/>
      <c r="J22" s="21"/>
      <c r="K22" s="21"/>
      <c r="L22" s="265"/>
      <c r="M22" s="14"/>
      <c r="N22" s="390"/>
      <c r="O22" s="390"/>
      <c r="P22" s="390"/>
      <c r="Q22" s="390"/>
      <c r="R22" s="390"/>
      <c r="S22" s="390"/>
      <c r="T22" s="390"/>
      <c r="U22" s="390"/>
      <c r="V22" s="390"/>
      <c r="W22" s="390"/>
      <c r="X22" s="390"/>
      <c r="Y22" s="14"/>
      <c r="Z22" s="14"/>
      <c r="AA22" s="14"/>
    </row>
    <row r="23" spans="1:27" x14ac:dyDescent="0.25">
      <c r="A23" s="264"/>
      <c r="B23" s="21"/>
      <c r="C23" s="21"/>
      <c r="D23" s="21"/>
      <c r="E23" s="265"/>
      <c r="F23" s="14"/>
      <c r="G23" s="264"/>
      <c r="H23" s="21"/>
      <c r="I23" s="21"/>
      <c r="J23" s="21"/>
      <c r="K23" s="21"/>
      <c r="L23" s="265"/>
      <c r="M23" s="14"/>
      <c r="N23" s="390"/>
      <c r="O23" s="390"/>
      <c r="P23" s="390"/>
      <c r="Q23" s="390"/>
      <c r="R23" s="390"/>
      <c r="S23" s="390"/>
      <c r="T23" s="390"/>
      <c r="U23" s="390"/>
      <c r="V23" s="390"/>
      <c r="W23" s="390"/>
      <c r="X23" s="390"/>
      <c r="Y23" s="14"/>
      <c r="Z23" s="14"/>
      <c r="AA23" s="14"/>
    </row>
    <row r="24" spans="1:27" x14ac:dyDescent="0.25">
      <c r="A24" s="264"/>
      <c r="B24" s="21"/>
      <c r="C24" s="21"/>
      <c r="D24" s="21"/>
      <c r="E24" s="265"/>
      <c r="F24" s="14"/>
      <c r="G24" s="264"/>
      <c r="H24" s="21"/>
      <c r="I24" s="21"/>
      <c r="J24" s="21"/>
      <c r="K24" s="21"/>
      <c r="L24" s="265"/>
      <c r="M24" s="14"/>
      <c r="N24" s="390"/>
      <c r="O24" s="390"/>
      <c r="P24" s="390"/>
      <c r="Q24" s="390"/>
      <c r="R24" s="390"/>
      <c r="S24" s="390"/>
      <c r="T24" s="390"/>
      <c r="U24" s="390"/>
      <c r="V24" s="390"/>
      <c r="W24" s="390"/>
      <c r="X24" s="390"/>
      <c r="Y24" s="14"/>
      <c r="Z24" s="14"/>
      <c r="AA24" s="14"/>
    </row>
    <row r="25" spans="1:27" x14ac:dyDescent="0.25">
      <c r="A25" s="264"/>
      <c r="B25" s="21"/>
      <c r="C25" s="21"/>
      <c r="D25" s="21"/>
      <c r="E25" s="265"/>
      <c r="F25" s="14"/>
      <c r="G25" s="264"/>
      <c r="H25" s="21"/>
      <c r="I25" s="21"/>
      <c r="J25" s="21"/>
      <c r="K25" s="21"/>
      <c r="L25" s="265"/>
      <c r="M25" s="14"/>
      <c r="N25" s="390"/>
      <c r="O25" s="390"/>
      <c r="P25" s="390"/>
      <c r="Q25" s="390"/>
      <c r="R25" s="390"/>
      <c r="S25" s="390"/>
      <c r="T25" s="390"/>
      <c r="U25" s="390"/>
      <c r="V25" s="390"/>
      <c r="W25" s="390"/>
      <c r="X25" s="390"/>
      <c r="Y25" s="14"/>
      <c r="Z25" s="14"/>
      <c r="AA25" s="14"/>
    </row>
    <row r="26" spans="1:27" x14ac:dyDescent="0.25">
      <c r="A26" s="264"/>
      <c r="B26" s="21"/>
      <c r="C26" s="21"/>
      <c r="D26" s="21"/>
      <c r="E26" s="265"/>
      <c r="F26" s="14"/>
      <c r="G26" s="264"/>
      <c r="H26" s="21"/>
      <c r="I26" s="21"/>
      <c r="J26" s="21"/>
      <c r="K26" s="21"/>
      <c r="L26" s="265"/>
      <c r="M26" s="14"/>
      <c r="N26" s="390"/>
      <c r="O26" s="390"/>
      <c r="P26" s="390"/>
      <c r="Q26" s="390"/>
      <c r="R26" s="390"/>
      <c r="S26" s="390"/>
      <c r="T26" s="390"/>
      <c r="U26" s="390"/>
      <c r="V26" s="390"/>
      <c r="W26" s="390"/>
      <c r="X26" s="390"/>
      <c r="Y26" s="14"/>
      <c r="Z26" s="14"/>
      <c r="AA26" s="14"/>
    </row>
    <row r="27" spans="1:27" x14ac:dyDescent="0.25">
      <c r="A27" s="264"/>
      <c r="B27" s="21"/>
      <c r="C27" s="21"/>
      <c r="D27" s="21"/>
      <c r="E27" s="265"/>
      <c r="F27" s="14"/>
      <c r="G27" s="264"/>
      <c r="H27" s="21"/>
      <c r="I27" s="21"/>
      <c r="J27" s="21"/>
      <c r="K27" s="21"/>
      <c r="L27" s="265"/>
      <c r="M27" s="14"/>
      <c r="N27" s="390"/>
      <c r="O27" s="390"/>
      <c r="P27" s="390"/>
      <c r="Q27" s="390"/>
      <c r="R27" s="390"/>
      <c r="S27" s="390"/>
      <c r="T27" s="390"/>
      <c r="U27" s="390"/>
      <c r="V27" s="390"/>
      <c r="W27" s="390"/>
      <c r="X27" s="390"/>
      <c r="Y27" s="14"/>
      <c r="Z27" s="14"/>
      <c r="AA27" s="14"/>
    </row>
    <row r="28" spans="1:27" x14ac:dyDescent="0.25">
      <c r="A28" s="264"/>
      <c r="B28" s="21"/>
      <c r="C28" s="21"/>
      <c r="D28" s="21"/>
      <c r="E28" s="265"/>
      <c r="F28" s="14"/>
      <c r="G28" s="264"/>
      <c r="H28" s="21"/>
      <c r="I28" s="21"/>
      <c r="J28" s="21"/>
      <c r="K28" s="21"/>
      <c r="L28" s="265"/>
      <c r="M28" s="14"/>
      <c r="N28" s="390"/>
      <c r="O28" s="390"/>
      <c r="P28" s="390"/>
      <c r="Q28" s="390"/>
      <c r="R28" s="390"/>
      <c r="S28" s="390"/>
      <c r="T28" s="390"/>
      <c r="U28" s="390"/>
      <c r="V28" s="390"/>
      <c r="W28" s="390"/>
      <c r="X28" s="390"/>
      <c r="Y28" s="14"/>
      <c r="Z28" s="14"/>
      <c r="AA28" s="14"/>
    </row>
    <row r="29" spans="1:27" ht="15.75" thickBot="1" x14ac:dyDescent="0.3">
      <c r="A29" s="369"/>
      <c r="B29" s="370"/>
      <c r="C29" s="370"/>
      <c r="D29" s="370"/>
      <c r="E29" s="371"/>
      <c r="F29" s="14"/>
      <c r="G29" s="264"/>
      <c r="H29" s="21"/>
      <c r="I29" s="21"/>
      <c r="J29" s="21"/>
      <c r="K29" s="21"/>
      <c r="L29" s="265"/>
      <c r="M29" s="14"/>
      <c r="N29" s="390"/>
      <c r="O29" s="390"/>
      <c r="P29" s="390"/>
      <c r="Q29" s="390"/>
      <c r="R29" s="390"/>
      <c r="S29" s="390"/>
      <c r="T29" s="390"/>
      <c r="U29" s="390"/>
      <c r="V29" s="390"/>
      <c r="W29" s="390"/>
      <c r="X29" s="390"/>
      <c r="Y29" s="14"/>
      <c r="Z29" s="14"/>
      <c r="AA29" s="14"/>
    </row>
    <row r="30" spans="1:27" x14ac:dyDescent="0.25">
      <c r="A30" s="14"/>
      <c r="B30" s="14"/>
      <c r="C30" s="14"/>
      <c r="D30" s="14"/>
      <c r="E30" s="14"/>
      <c r="F30" s="14"/>
      <c r="G30" s="264"/>
      <c r="H30" s="21"/>
      <c r="I30" s="21"/>
      <c r="J30" s="21"/>
      <c r="K30" s="21"/>
      <c r="L30" s="265"/>
      <c r="M30" s="14"/>
      <c r="N30" s="390"/>
      <c r="O30" s="390"/>
      <c r="P30" s="390"/>
      <c r="Q30" s="390"/>
      <c r="R30" s="390"/>
      <c r="S30" s="390"/>
      <c r="T30" s="390"/>
      <c r="U30" s="390"/>
      <c r="V30" s="390"/>
      <c r="W30" s="390"/>
      <c r="X30" s="390"/>
      <c r="Y30" s="14"/>
      <c r="Z30" s="14"/>
      <c r="AA30" s="14"/>
    </row>
    <row r="31" spans="1:27" x14ac:dyDescent="0.25">
      <c r="A31" s="14"/>
      <c r="B31" s="14"/>
      <c r="C31" s="14"/>
      <c r="D31" s="14"/>
      <c r="E31" s="14"/>
      <c r="F31" s="14"/>
      <c r="G31" s="264"/>
      <c r="H31" s="21"/>
      <c r="I31" s="21"/>
      <c r="J31" s="21"/>
      <c r="K31" s="21"/>
      <c r="L31" s="265"/>
      <c r="M31" s="14"/>
      <c r="N31" s="390"/>
      <c r="O31" s="390"/>
      <c r="P31" s="390"/>
      <c r="Q31" s="390"/>
      <c r="R31" s="390"/>
      <c r="S31" s="390"/>
      <c r="T31" s="390"/>
      <c r="U31" s="390"/>
      <c r="V31" s="390"/>
      <c r="W31" s="390"/>
      <c r="X31" s="390"/>
      <c r="Y31" s="14"/>
      <c r="Z31" s="14"/>
      <c r="AA31" s="14"/>
    </row>
    <row r="32" spans="1:27" ht="15.75" thickBot="1" x14ac:dyDescent="0.3">
      <c r="A32" s="14"/>
      <c r="B32" s="14"/>
      <c r="C32" s="14"/>
      <c r="D32" s="14"/>
      <c r="E32" s="14"/>
      <c r="F32" s="14"/>
      <c r="G32" s="369"/>
      <c r="H32" s="370"/>
      <c r="I32" s="370"/>
      <c r="J32" s="370"/>
      <c r="K32" s="370"/>
      <c r="L32" s="371"/>
      <c r="M32" s="14"/>
      <c r="N32" s="390"/>
      <c r="O32" s="390"/>
      <c r="P32" s="390"/>
      <c r="Q32" s="390"/>
      <c r="R32" s="390"/>
      <c r="S32" s="390"/>
      <c r="T32" s="390"/>
      <c r="U32" s="390"/>
      <c r="V32" s="390"/>
      <c r="W32" s="390"/>
      <c r="X32" s="390"/>
      <c r="Y32" s="14"/>
      <c r="Z32" s="14"/>
      <c r="AA32" s="14"/>
    </row>
    <row r="33" spans="1:27" x14ac:dyDescent="0.25">
      <c r="A33" s="14"/>
      <c r="B33" s="14"/>
      <c r="C33" s="14"/>
      <c r="D33" s="14"/>
      <c r="E33" s="21"/>
      <c r="F33" s="21"/>
      <c r="G33" s="21"/>
      <c r="H33" s="21"/>
      <c r="I33" s="21"/>
      <c r="J33" s="21"/>
      <c r="K33" s="21"/>
      <c r="L33" s="21"/>
      <c r="M33" s="14"/>
      <c r="N33" s="390"/>
      <c r="O33" s="390"/>
      <c r="P33" s="390"/>
      <c r="Q33" s="390"/>
      <c r="R33" s="390"/>
      <c r="S33" s="390"/>
      <c r="T33" s="390"/>
      <c r="U33" s="390"/>
      <c r="V33" s="390"/>
      <c r="W33" s="390"/>
      <c r="X33" s="390"/>
      <c r="Y33" s="14"/>
      <c r="Z33" s="14"/>
      <c r="AA33" s="14"/>
    </row>
    <row r="34" spans="1:27" x14ac:dyDescent="0.25">
      <c r="C34" s="14"/>
      <c r="D34" s="14"/>
      <c r="E34" s="14"/>
      <c r="F34" s="14"/>
      <c r="G34" s="14"/>
      <c r="H34" s="14"/>
      <c r="I34" s="14"/>
      <c r="L34" s="14"/>
      <c r="M34" s="14"/>
      <c r="N34" s="14"/>
      <c r="O34" s="14"/>
      <c r="P34" s="14"/>
      <c r="Q34" s="14"/>
      <c r="R34" s="14"/>
      <c r="S34" s="14"/>
      <c r="T34" s="14"/>
      <c r="U34" s="14"/>
      <c r="V34" s="14"/>
      <c r="W34" s="14"/>
      <c r="X34" s="14"/>
      <c r="Y34" s="14"/>
      <c r="Z34" s="14"/>
      <c r="AA34" s="14"/>
    </row>
    <row r="35" spans="1:27" x14ac:dyDescent="0.25">
      <c r="L35" s="14"/>
      <c r="M35" s="14"/>
      <c r="N35" s="14"/>
      <c r="O35" s="14"/>
      <c r="P35" s="14"/>
      <c r="Q35" s="14"/>
      <c r="R35" s="14"/>
      <c r="S35" s="14"/>
      <c r="T35" s="14"/>
      <c r="U35" s="14"/>
      <c r="V35" s="14"/>
      <c r="W35" s="14"/>
      <c r="X35" s="14"/>
      <c r="Y35" s="14"/>
      <c r="Z35" s="14"/>
      <c r="AA35" s="14"/>
    </row>
    <row r="36" spans="1:27" x14ac:dyDescent="0.25">
      <c r="L36" s="14"/>
      <c r="M36" s="14"/>
      <c r="N36" s="14"/>
      <c r="O36" s="14"/>
      <c r="P36" s="14"/>
      <c r="Q36" s="14"/>
      <c r="R36" s="14"/>
      <c r="S36" s="14"/>
      <c r="T36" s="14"/>
      <c r="U36" s="14"/>
      <c r="V36" s="14"/>
      <c r="W36" s="14"/>
      <c r="X36" s="14"/>
      <c r="Y36" s="14"/>
      <c r="Z36" s="14"/>
      <c r="AA36" s="14"/>
    </row>
    <row r="37" spans="1:27" s="14" customFormat="1" x14ac:dyDescent="0.25"/>
    <row r="38" spans="1:27" x14ac:dyDescent="0.25">
      <c r="L38" s="14"/>
      <c r="M38" s="14"/>
      <c r="N38" s="14"/>
      <c r="O38" s="14"/>
      <c r="P38" s="14"/>
      <c r="Q38" s="14"/>
      <c r="R38" s="14"/>
      <c r="S38" s="14"/>
      <c r="T38" s="14"/>
      <c r="U38" s="14"/>
      <c r="V38" s="14"/>
      <c r="W38" s="14"/>
      <c r="X38" s="14"/>
      <c r="Y38" s="14"/>
      <c r="Z38" s="14"/>
      <c r="AA38" s="14"/>
    </row>
    <row r="39" spans="1:27" x14ac:dyDescent="0.25">
      <c r="A39" s="15" t="s">
        <v>173</v>
      </c>
      <c r="B39" s="14"/>
      <c r="C39" s="14"/>
      <c r="D39" s="14"/>
      <c r="E39" s="14"/>
      <c r="F39" s="14"/>
      <c r="G39" s="14"/>
      <c r="H39" s="14"/>
      <c r="I39" s="14"/>
      <c r="L39" s="14"/>
      <c r="M39" s="14"/>
      <c r="N39" s="14"/>
      <c r="O39" s="14"/>
      <c r="P39" s="14"/>
      <c r="Q39" s="14"/>
      <c r="R39" s="14"/>
      <c r="S39" s="14"/>
      <c r="T39" s="14"/>
      <c r="U39" s="14"/>
      <c r="V39" s="14"/>
      <c r="W39" s="14"/>
      <c r="X39" s="14"/>
      <c r="Y39" s="14"/>
      <c r="Z39" s="14"/>
      <c r="AA39" s="14"/>
    </row>
    <row r="40" spans="1:27" x14ac:dyDescent="0.25">
      <c r="A40" s="14" t="s">
        <v>318</v>
      </c>
      <c r="B40" s="14"/>
      <c r="C40" s="14"/>
      <c r="D40" s="14"/>
      <c r="E40" s="14"/>
      <c r="F40" s="14"/>
      <c r="G40" s="14"/>
      <c r="H40" s="14"/>
      <c r="I40" s="14"/>
      <c r="L40" s="14"/>
      <c r="M40" s="14"/>
      <c r="N40" s="14"/>
      <c r="O40" s="14"/>
      <c r="P40" s="14"/>
      <c r="Q40" s="14"/>
      <c r="R40" s="14"/>
      <c r="S40" s="14"/>
      <c r="T40" s="14"/>
      <c r="U40" s="14"/>
      <c r="V40" s="14"/>
      <c r="W40" s="14"/>
      <c r="X40" s="14"/>
      <c r="Y40" s="14"/>
      <c r="Z40" s="14"/>
      <c r="AA40" s="14"/>
    </row>
    <row r="41" spans="1:27" x14ac:dyDescent="0.25">
      <c r="A41" s="14" t="s">
        <v>351</v>
      </c>
      <c r="B41" s="14"/>
      <c r="C41" s="14"/>
      <c r="D41" s="14"/>
      <c r="E41" s="14"/>
      <c r="F41" s="14"/>
      <c r="G41" s="14"/>
      <c r="H41" s="14"/>
      <c r="I41" s="14"/>
      <c r="L41" s="14"/>
      <c r="M41" s="14"/>
      <c r="N41" s="14"/>
      <c r="O41" s="14"/>
      <c r="P41" s="14"/>
      <c r="Q41" s="14"/>
      <c r="R41" s="14"/>
      <c r="S41" s="14"/>
      <c r="T41" s="14"/>
      <c r="U41" s="14"/>
      <c r="V41" s="14"/>
      <c r="W41" s="14"/>
      <c r="X41" s="14"/>
      <c r="Y41" s="14"/>
      <c r="Z41" s="14"/>
      <c r="AA41" s="14"/>
    </row>
    <row r="42" spans="1:27" x14ac:dyDescent="0.25">
      <c r="A42" s="14" t="s">
        <v>423</v>
      </c>
      <c r="B42" s="14"/>
      <c r="C42" s="14"/>
      <c r="D42" s="14"/>
      <c r="E42" s="14"/>
      <c r="F42" s="14"/>
      <c r="G42" s="14"/>
      <c r="H42" s="14"/>
      <c r="I42" s="14"/>
      <c r="L42" s="14"/>
      <c r="M42" s="14"/>
      <c r="N42" s="14"/>
      <c r="O42" s="14"/>
      <c r="P42" s="14"/>
      <c r="Q42" s="14"/>
      <c r="R42" s="14"/>
      <c r="S42" s="14"/>
      <c r="T42" s="14"/>
      <c r="U42" s="14"/>
      <c r="V42" s="14"/>
      <c r="W42" s="14"/>
      <c r="X42" s="14"/>
      <c r="Y42" s="14"/>
      <c r="Z42" s="14"/>
      <c r="AA42" s="14"/>
    </row>
    <row r="43" spans="1:27" x14ac:dyDescent="0.25">
      <c r="A43" s="14" t="s">
        <v>352</v>
      </c>
      <c r="B43" s="14"/>
      <c r="C43" s="14"/>
      <c r="D43" s="14"/>
      <c r="E43" s="14"/>
      <c r="F43" s="14"/>
      <c r="G43" s="14"/>
      <c r="H43" s="14"/>
      <c r="I43" s="14"/>
      <c r="L43" s="14"/>
      <c r="M43" s="14"/>
      <c r="N43" s="14"/>
      <c r="O43" s="14"/>
      <c r="P43" s="14"/>
      <c r="Q43" s="14"/>
      <c r="R43" s="14"/>
      <c r="S43" s="14"/>
      <c r="T43" s="14"/>
      <c r="U43" s="14"/>
      <c r="V43" s="14"/>
      <c r="W43" s="14"/>
      <c r="X43" s="14"/>
      <c r="Y43" s="14"/>
      <c r="Z43" s="14"/>
      <c r="AA43" s="14"/>
    </row>
    <row r="44" spans="1:27" x14ac:dyDescent="0.25">
      <c r="A44" s="14"/>
      <c r="B44" s="14" t="s">
        <v>174</v>
      </c>
      <c r="C44" s="14"/>
      <c r="D44" s="14"/>
      <c r="E44" s="14"/>
      <c r="F44" s="14"/>
      <c r="G44" s="14"/>
      <c r="H44" s="14"/>
      <c r="I44" s="14"/>
      <c r="L44" s="14"/>
      <c r="M44" s="14"/>
      <c r="N44" s="14"/>
      <c r="O44" s="14"/>
      <c r="P44" s="14"/>
      <c r="Q44" s="14"/>
      <c r="R44" s="14"/>
      <c r="S44" s="14"/>
      <c r="T44" s="14"/>
      <c r="U44" s="14"/>
      <c r="V44" s="14"/>
      <c r="W44" s="14"/>
      <c r="X44" s="14"/>
      <c r="Y44" s="14"/>
      <c r="Z44" s="14"/>
      <c r="AA44" s="14"/>
    </row>
    <row r="45" spans="1:27" x14ac:dyDescent="0.25">
      <c r="A45" s="14"/>
      <c r="B45" s="14" t="s">
        <v>175</v>
      </c>
      <c r="C45" s="14"/>
      <c r="D45" s="14"/>
      <c r="E45" s="14"/>
      <c r="F45" s="14"/>
      <c r="G45" s="14"/>
      <c r="H45" s="14"/>
      <c r="I45" s="14"/>
      <c r="L45" s="14"/>
      <c r="M45" s="14"/>
      <c r="N45" s="14"/>
      <c r="O45" s="14"/>
      <c r="P45" s="14"/>
      <c r="Q45" s="14"/>
      <c r="R45" s="14"/>
      <c r="S45" s="14"/>
      <c r="T45" s="14"/>
      <c r="U45" s="14"/>
      <c r="V45" s="14"/>
      <c r="W45" s="14"/>
      <c r="X45" s="14"/>
      <c r="Y45" s="14"/>
      <c r="Z45" s="14"/>
      <c r="AA45" s="14"/>
    </row>
    <row r="46" spans="1:27" x14ac:dyDescent="0.25">
      <c r="B46" t="s">
        <v>339</v>
      </c>
      <c r="C46" s="14"/>
      <c r="D46" s="14"/>
      <c r="E46" s="14"/>
      <c r="F46" s="14"/>
      <c r="G46" s="14"/>
      <c r="H46" s="14"/>
      <c r="I46" s="14"/>
      <c r="L46" s="14"/>
      <c r="M46" s="14"/>
      <c r="N46" s="14"/>
      <c r="O46" s="14"/>
      <c r="P46" s="14"/>
      <c r="Q46" s="14"/>
      <c r="R46" s="14"/>
      <c r="S46" s="14"/>
      <c r="T46" s="14"/>
      <c r="U46" s="14"/>
      <c r="V46" s="14"/>
      <c r="W46" s="14"/>
      <c r="X46" s="14"/>
      <c r="Y46" s="14"/>
      <c r="Z46" s="14"/>
      <c r="AA46" s="14"/>
    </row>
    <row r="47" spans="1:27" x14ac:dyDescent="0.25">
      <c r="C47" s="14"/>
      <c r="D47" s="14"/>
      <c r="E47" s="14"/>
      <c r="F47" s="14"/>
      <c r="G47" s="14"/>
      <c r="H47" s="14"/>
      <c r="I47" s="14"/>
      <c r="L47" s="14"/>
      <c r="M47" s="14"/>
      <c r="N47" s="14"/>
      <c r="O47" s="14"/>
      <c r="P47" s="14"/>
      <c r="Q47" s="14"/>
      <c r="R47" s="14"/>
      <c r="S47" s="14"/>
      <c r="T47" s="14"/>
      <c r="U47" s="14"/>
      <c r="V47" s="14"/>
      <c r="W47" s="14"/>
      <c r="X47" s="14"/>
      <c r="Y47" s="14"/>
      <c r="Z47" s="14"/>
      <c r="AA47" s="14"/>
    </row>
    <row r="48" spans="1:27" x14ac:dyDescent="0.25">
      <c r="A48" s="13" t="s">
        <v>452</v>
      </c>
      <c r="B48" s="13"/>
      <c r="C48" s="13"/>
      <c r="D48" s="14"/>
      <c r="E48" s="14"/>
      <c r="F48" s="14"/>
      <c r="G48" s="14"/>
      <c r="H48" s="14"/>
      <c r="I48" s="14"/>
      <c r="L48" s="14"/>
      <c r="M48" s="14"/>
      <c r="N48" s="14"/>
      <c r="O48" s="14"/>
      <c r="P48" s="14"/>
      <c r="Q48" s="14"/>
      <c r="R48" s="14"/>
      <c r="S48" s="14"/>
      <c r="T48" s="14"/>
      <c r="U48" s="14"/>
      <c r="V48" s="14"/>
      <c r="W48" s="14"/>
      <c r="X48" s="14"/>
      <c r="Y48" s="14"/>
      <c r="Z48" s="14"/>
      <c r="AA48" s="14"/>
    </row>
    <row r="49" spans="1:27" x14ac:dyDescent="0.25">
      <c r="A49" s="13" t="s">
        <v>340</v>
      </c>
      <c r="B49" s="13"/>
      <c r="C49" s="389">
        <v>42995</v>
      </c>
      <c r="D49" s="14"/>
      <c r="E49" s="14"/>
      <c r="F49" s="14"/>
      <c r="G49" s="14"/>
      <c r="H49" s="14"/>
      <c r="I49" s="14"/>
      <c r="L49" s="14"/>
      <c r="M49" s="14"/>
      <c r="N49" s="14"/>
      <c r="O49" s="14"/>
      <c r="P49" s="14"/>
      <c r="Q49" s="14"/>
      <c r="R49" s="14"/>
      <c r="S49" s="14"/>
      <c r="T49" s="14"/>
      <c r="U49" s="14"/>
      <c r="V49" s="14"/>
      <c r="W49" s="14"/>
      <c r="X49" s="14"/>
      <c r="Y49" s="14"/>
      <c r="Z49" s="14"/>
      <c r="AA49" s="14"/>
    </row>
    <row r="50" spans="1:27" x14ac:dyDescent="0.25">
      <c r="C50" s="14"/>
      <c r="D50" s="14"/>
      <c r="E50" s="14"/>
      <c r="F50" s="14"/>
      <c r="G50" s="14"/>
      <c r="H50" s="14"/>
      <c r="I50" s="14"/>
      <c r="L50" s="14"/>
      <c r="M50" s="14"/>
      <c r="N50" s="14"/>
      <c r="O50" s="14"/>
      <c r="P50" s="14"/>
      <c r="Q50" s="14"/>
      <c r="R50" s="14"/>
      <c r="S50" s="14"/>
      <c r="T50" s="14"/>
      <c r="U50" s="14"/>
      <c r="V50" s="14"/>
      <c r="W50" s="14"/>
      <c r="X50" s="14"/>
      <c r="Y50" s="14"/>
      <c r="Z50" s="14"/>
      <c r="AA50" s="14"/>
    </row>
    <row r="51" spans="1:27" x14ac:dyDescent="0.25">
      <c r="C51" s="14"/>
      <c r="D51" s="14"/>
      <c r="E51" s="14"/>
      <c r="F51" s="14"/>
      <c r="G51" s="14"/>
      <c r="H51" s="14"/>
      <c r="I51" s="14"/>
      <c r="L51" s="14"/>
      <c r="M51" s="14"/>
      <c r="N51" s="14"/>
      <c r="O51" s="14"/>
      <c r="P51" s="14"/>
      <c r="Q51" s="14"/>
      <c r="R51" s="14"/>
      <c r="S51" s="14"/>
      <c r="T51" s="14"/>
      <c r="U51" s="14"/>
      <c r="V51" s="14"/>
      <c r="W51" s="14"/>
      <c r="X51" s="14"/>
      <c r="Y51" s="14"/>
      <c r="Z51" s="14"/>
      <c r="AA51" s="14"/>
    </row>
    <row r="52" spans="1:27" x14ac:dyDescent="0.25">
      <c r="C52" s="14"/>
      <c r="D52" s="14"/>
      <c r="E52" s="14"/>
      <c r="F52" s="14"/>
      <c r="G52" s="14"/>
      <c r="H52" s="14"/>
      <c r="I52" s="14"/>
      <c r="L52" s="14"/>
      <c r="M52" s="14"/>
      <c r="N52" s="14"/>
      <c r="O52" s="14"/>
      <c r="P52" s="14"/>
      <c r="Q52" s="14"/>
      <c r="R52" s="14"/>
      <c r="S52" s="14"/>
      <c r="T52" s="14"/>
      <c r="U52" s="14"/>
      <c r="V52" s="14"/>
      <c r="W52" s="14"/>
      <c r="X52" s="14"/>
      <c r="Y52" s="14"/>
      <c r="Z52" s="14"/>
      <c r="AA52" s="14"/>
    </row>
    <row r="53" spans="1:27" x14ac:dyDescent="0.25">
      <c r="C53" s="14"/>
      <c r="D53" s="14"/>
      <c r="E53" s="14"/>
      <c r="F53" s="14"/>
      <c r="G53" s="14"/>
      <c r="H53" s="14"/>
      <c r="I53" s="14"/>
      <c r="L53" s="14"/>
      <c r="M53" s="14"/>
      <c r="N53" s="14"/>
      <c r="O53" s="14"/>
      <c r="P53" s="14"/>
      <c r="Q53" s="14"/>
      <c r="R53" s="14"/>
      <c r="S53" s="14"/>
      <c r="T53" s="14"/>
      <c r="U53" s="14"/>
      <c r="V53" s="14"/>
      <c r="W53" s="14"/>
      <c r="X53" s="14"/>
      <c r="Y53" s="14"/>
      <c r="Z53" s="14"/>
      <c r="AA53" s="14"/>
    </row>
    <row r="54" spans="1:27" x14ac:dyDescent="0.25">
      <c r="C54" s="14"/>
      <c r="D54" s="14"/>
      <c r="E54" s="14"/>
      <c r="F54" s="14"/>
      <c r="G54" s="14"/>
      <c r="H54" s="14"/>
      <c r="I54" s="14"/>
      <c r="L54" s="14"/>
      <c r="M54" s="14"/>
      <c r="N54" s="14"/>
      <c r="O54" s="14"/>
      <c r="P54" s="14"/>
      <c r="Q54" s="14"/>
      <c r="R54" s="14"/>
      <c r="S54" s="14"/>
      <c r="T54" s="14"/>
      <c r="U54" s="14"/>
      <c r="V54" s="14"/>
      <c r="W54" s="14"/>
      <c r="X54" s="14"/>
      <c r="Y54" s="14"/>
      <c r="Z54" s="14"/>
      <c r="AA54" s="14"/>
    </row>
    <row r="55" spans="1:27" x14ac:dyDescent="0.25">
      <c r="C55" s="14"/>
      <c r="D55" s="14"/>
      <c r="E55" s="14"/>
      <c r="F55" s="14"/>
      <c r="G55" s="14"/>
      <c r="H55" s="14"/>
      <c r="I55" s="14"/>
      <c r="L55" s="14"/>
      <c r="M55" s="14"/>
      <c r="N55" s="14"/>
      <c r="O55" s="14"/>
      <c r="P55" s="14"/>
      <c r="Q55" s="14"/>
      <c r="R55" s="14"/>
      <c r="S55" s="14"/>
      <c r="T55" s="14"/>
      <c r="U55" s="14"/>
      <c r="V55" s="14"/>
      <c r="W55" s="14"/>
      <c r="X55" s="14"/>
      <c r="Y55" s="14"/>
      <c r="Z55" s="14"/>
      <c r="AA55" s="14"/>
    </row>
    <row r="56" spans="1:27" x14ac:dyDescent="0.25">
      <c r="C56" s="14"/>
      <c r="D56" s="14"/>
      <c r="E56" s="14"/>
      <c r="F56" s="14"/>
      <c r="G56" s="14"/>
      <c r="H56" s="14"/>
      <c r="I56" s="14"/>
      <c r="L56" s="14"/>
      <c r="M56" s="14"/>
      <c r="N56" s="14"/>
      <c r="O56" s="14"/>
      <c r="P56" s="14"/>
      <c r="Q56" s="14"/>
      <c r="R56" s="14"/>
      <c r="S56" s="14"/>
      <c r="T56" s="14"/>
      <c r="U56" s="14"/>
      <c r="V56" s="14"/>
      <c r="W56" s="14"/>
      <c r="X56" s="14"/>
      <c r="Y56" s="14"/>
      <c r="Z56" s="14"/>
      <c r="AA56" s="14"/>
    </row>
  </sheetData>
  <mergeCells count="4">
    <mergeCell ref="N3:X33"/>
    <mergeCell ref="A6:E7"/>
    <mergeCell ref="G6:L7"/>
    <mergeCell ref="A19:E20"/>
  </mergeCells>
  <dataValidations count="1">
    <dataValidation type="list" allowBlank="1" showInputMessage="1" showErrorMessage="1" sqref="B4">
      <formula1>ProgramGoals</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5"/>
  <sheetViews>
    <sheetView zoomScale="70" zoomScaleNormal="70" workbookViewId="0">
      <selection activeCell="D3" sqref="D3:D4"/>
    </sheetView>
  </sheetViews>
  <sheetFormatPr defaultColWidth="9.28515625" defaultRowHeight="12.75" x14ac:dyDescent="0.2"/>
  <cols>
    <col min="1" max="1" width="4.28515625" style="30" customWidth="1"/>
    <col min="2" max="2" width="4" style="30" customWidth="1"/>
    <col min="3" max="3" width="33.42578125" style="30" customWidth="1"/>
    <col min="4" max="6" width="40.7109375" style="30" customWidth="1"/>
    <col min="7" max="7" width="10.5703125" style="30" customWidth="1"/>
    <col min="8" max="8" width="4.28515625" style="30" customWidth="1"/>
    <col min="9" max="16384" width="9.28515625" style="30"/>
  </cols>
  <sheetData>
    <row r="1" spans="1:8" ht="25.5" customHeight="1" x14ac:dyDescent="0.25">
      <c r="A1" s="403" t="s">
        <v>153</v>
      </c>
      <c r="B1" s="403"/>
      <c r="C1" s="403"/>
      <c r="D1" s="22"/>
      <c r="E1" s="23" t="s">
        <v>97</v>
      </c>
      <c r="F1" s="23"/>
    </row>
    <row r="2" spans="1:8" ht="21" customHeight="1" thickBot="1" x14ac:dyDescent="0.25">
      <c r="B2" s="404"/>
      <c r="C2" s="404"/>
      <c r="D2" s="22"/>
      <c r="E2" s="24" t="s">
        <v>98</v>
      </c>
      <c r="F2" s="42"/>
    </row>
    <row r="3" spans="1:8" ht="38.25" customHeight="1" thickBot="1" x14ac:dyDescent="0.25">
      <c r="B3" s="405" t="s">
        <v>451</v>
      </c>
      <c r="C3" s="406"/>
      <c r="D3" s="306"/>
      <c r="E3" s="411" t="s">
        <v>429</v>
      </c>
      <c r="F3" s="412"/>
    </row>
    <row r="4" spans="1:8" ht="38.25" customHeight="1" thickBot="1" x14ac:dyDescent="0.25">
      <c r="B4" s="405" t="s">
        <v>368</v>
      </c>
      <c r="C4" s="406"/>
      <c r="D4" s="306"/>
      <c r="E4" s="411"/>
      <c r="F4" s="412"/>
    </row>
    <row r="5" spans="1:8" ht="15.75" customHeight="1" thickBot="1" x14ac:dyDescent="0.25">
      <c r="B5" s="45"/>
      <c r="C5" s="45"/>
      <c r="D5" s="22"/>
      <c r="E5" s="25"/>
      <c r="F5" s="24"/>
    </row>
    <row r="6" spans="1:8" ht="25.5" customHeight="1" thickTop="1" x14ac:dyDescent="0.2">
      <c r="A6" s="407" t="s">
        <v>96</v>
      </c>
      <c r="B6" s="408"/>
      <c r="C6" s="408"/>
      <c r="D6" s="408"/>
      <c r="E6" s="408"/>
      <c r="F6" s="408"/>
      <c r="G6" s="409"/>
      <c r="H6" s="410"/>
    </row>
    <row r="7" spans="1:8" ht="15.75" customHeight="1" x14ac:dyDescent="0.2">
      <c r="A7" s="26"/>
      <c r="B7" s="397" t="s">
        <v>99</v>
      </c>
      <c r="C7" s="398"/>
      <c r="D7" s="401" t="s">
        <v>100</v>
      </c>
      <c r="E7" s="401"/>
      <c r="F7" s="402"/>
      <c r="G7" s="397" t="s">
        <v>311</v>
      </c>
      <c r="H7" s="27"/>
    </row>
    <row r="8" spans="1:8" ht="16.5" thickBot="1" x14ac:dyDescent="0.25">
      <c r="A8" s="26"/>
      <c r="B8" s="399"/>
      <c r="C8" s="400"/>
      <c r="D8" s="46" t="s">
        <v>308</v>
      </c>
      <c r="E8" s="46" t="s">
        <v>309</v>
      </c>
      <c r="F8" s="44" t="s">
        <v>310</v>
      </c>
      <c r="G8" s="399"/>
      <c r="H8" s="27"/>
    </row>
    <row r="9" spans="1:8" ht="55.5" customHeight="1" thickTop="1" thickBot="1" x14ac:dyDescent="0.25">
      <c r="A9" s="31"/>
      <c r="B9" s="37">
        <v>1</v>
      </c>
      <c r="C9" s="33" t="s">
        <v>179</v>
      </c>
      <c r="D9" s="34" t="s">
        <v>362</v>
      </c>
      <c r="E9" s="34" t="s">
        <v>103</v>
      </c>
      <c r="F9" s="35" t="s">
        <v>104</v>
      </c>
      <c r="G9" s="50"/>
      <c r="H9" s="32"/>
    </row>
    <row r="10" spans="1:8" ht="18.75" customHeight="1" thickBot="1" x14ac:dyDescent="0.25">
      <c r="A10" s="31"/>
      <c r="B10" s="37">
        <v>2</v>
      </c>
      <c r="C10" s="33" t="s">
        <v>180</v>
      </c>
      <c r="D10" s="34" t="s">
        <v>334</v>
      </c>
      <c r="E10" s="34" t="s">
        <v>335</v>
      </c>
      <c r="F10" s="35" t="s">
        <v>336</v>
      </c>
      <c r="G10" s="36"/>
      <c r="H10" s="32"/>
    </row>
    <row r="11" spans="1:8" ht="28.5" customHeight="1" thickBot="1" x14ac:dyDescent="0.25">
      <c r="A11" s="31"/>
      <c r="B11" s="37">
        <v>3</v>
      </c>
      <c r="C11" s="33" t="s">
        <v>181</v>
      </c>
      <c r="D11" s="34" t="s">
        <v>105</v>
      </c>
      <c r="E11" s="34" t="s">
        <v>106</v>
      </c>
      <c r="F11" s="35" t="s">
        <v>107</v>
      </c>
      <c r="G11" s="51"/>
      <c r="H11" s="32"/>
    </row>
    <row r="12" spans="1:8" ht="53.25" customHeight="1" thickBot="1" x14ac:dyDescent="0.25">
      <c r="A12" s="31"/>
      <c r="B12" s="37">
        <v>4</v>
      </c>
      <c r="C12" s="33" t="s">
        <v>182</v>
      </c>
      <c r="D12" s="34" t="s">
        <v>108</v>
      </c>
      <c r="E12" s="34" t="s">
        <v>109</v>
      </c>
      <c r="F12" s="35" t="s">
        <v>110</v>
      </c>
      <c r="G12" s="36"/>
      <c r="H12" s="32"/>
    </row>
    <row r="13" spans="1:8" ht="13.5" thickBot="1" x14ac:dyDescent="0.25">
      <c r="A13" s="31"/>
      <c r="B13" s="37">
        <v>5</v>
      </c>
      <c r="C13" s="33" t="s">
        <v>424</v>
      </c>
      <c r="D13" s="34" t="s">
        <v>326</v>
      </c>
      <c r="E13" s="34" t="s">
        <v>114</v>
      </c>
      <c r="F13" s="35" t="s">
        <v>325</v>
      </c>
      <c r="G13" s="51"/>
      <c r="H13" s="32"/>
    </row>
    <row r="14" spans="1:8" ht="30" customHeight="1" thickBot="1" x14ac:dyDescent="0.25">
      <c r="A14" s="31"/>
      <c r="B14" s="37">
        <v>6</v>
      </c>
      <c r="C14" s="33" t="s">
        <v>183</v>
      </c>
      <c r="D14" s="34" t="s">
        <v>115</v>
      </c>
      <c r="E14" s="34" t="s">
        <v>116</v>
      </c>
      <c r="F14" s="34" t="s">
        <v>117</v>
      </c>
      <c r="G14" s="52"/>
      <c r="H14" s="32"/>
    </row>
    <row r="15" spans="1:8" ht="32.25" customHeight="1" thickBot="1" x14ac:dyDescent="0.25">
      <c r="A15" s="31"/>
      <c r="B15" s="37">
        <v>7</v>
      </c>
      <c r="C15" s="33" t="s">
        <v>184</v>
      </c>
      <c r="D15" s="34" t="s">
        <v>118</v>
      </c>
      <c r="E15" s="34" t="s">
        <v>119</v>
      </c>
      <c r="F15" s="35" t="s">
        <v>120</v>
      </c>
      <c r="G15" s="53"/>
      <c r="H15" s="32"/>
    </row>
    <row r="16" spans="1:8" ht="40.5" customHeight="1" thickBot="1" x14ac:dyDescent="0.25">
      <c r="A16" s="31"/>
      <c r="B16" s="37">
        <v>8</v>
      </c>
      <c r="C16" s="33" t="s">
        <v>189</v>
      </c>
      <c r="D16" s="34" t="s">
        <v>317</v>
      </c>
      <c r="E16" s="34" t="s">
        <v>306</v>
      </c>
      <c r="F16" s="35" t="s">
        <v>307</v>
      </c>
      <c r="G16" s="53"/>
      <c r="H16" s="32"/>
    </row>
    <row r="17" spans="1:8" s="38" customFormat="1" ht="52.9" customHeight="1" thickBot="1" x14ac:dyDescent="0.25">
      <c r="A17" s="31"/>
      <c r="B17" s="37">
        <v>9</v>
      </c>
      <c r="C17" s="47" t="s">
        <v>187</v>
      </c>
      <c r="D17" s="48" t="s">
        <v>313</v>
      </c>
      <c r="E17" s="48" t="s">
        <v>154</v>
      </c>
      <c r="F17" s="49" t="s">
        <v>155</v>
      </c>
      <c r="G17" s="53"/>
      <c r="H17" s="32"/>
    </row>
    <row r="18" spans="1:8" ht="28.5" customHeight="1" thickBot="1" x14ac:dyDescent="0.25">
      <c r="A18" s="31"/>
      <c r="B18" s="37">
        <v>10</v>
      </c>
      <c r="C18" s="33" t="s">
        <v>428</v>
      </c>
      <c r="D18" s="34" t="s">
        <v>425</v>
      </c>
      <c r="E18" s="34" t="s">
        <v>426</v>
      </c>
      <c r="F18" s="34" t="s">
        <v>427</v>
      </c>
      <c r="G18" s="53"/>
      <c r="H18" s="32"/>
    </row>
    <row r="19" spans="1:8" ht="31.9" customHeight="1" thickBot="1" x14ac:dyDescent="0.25">
      <c r="A19" s="31"/>
      <c r="B19" s="37">
        <v>11</v>
      </c>
      <c r="C19" s="33" t="s">
        <v>188</v>
      </c>
      <c r="D19" s="35" t="s">
        <v>111</v>
      </c>
      <c r="E19" s="35" t="s">
        <v>112</v>
      </c>
      <c r="F19" s="35" t="s">
        <v>113</v>
      </c>
      <c r="G19" s="36"/>
      <c r="H19" s="32"/>
    </row>
    <row r="20" spans="1:8" ht="72.75" customHeight="1" thickBot="1" x14ac:dyDescent="0.25">
      <c r="A20" s="31"/>
      <c r="B20" s="37">
        <v>12</v>
      </c>
      <c r="C20" s="33" t="s">
        <v>185</v>
      </c>
      <c r="D20" s="34" t="s">
        <v>101</v>
      </c>
      <c r="E20" s="34" t="s">
        <v>361</v>
      </c>
      <c r="F20" s="35" t="s">
        <v>102</v>
      </c>
      <c r="G20" s="51"/>
      <c r="H20" s="32"/>
    </row>
    <row r="21" spans="1:8" ht="43.5" customHeight="1" thickBot="1" x14ac:dyDescent="0.25">
      <c r="A21" s="31"/>
      <c r="B21" s="37">
        <v>13</v>
      </c>
      <c r="C21" s="33" t="s">
        <v>186</v>
      </c>
      <c r="D21" s="34" t="s">
        <v>314</v>
      </c>
      <c r="E21" s="34" t="s">
        <v>315</v>
      </c>
      <c r="F21" s="35" t="s">
        <v>316</v>
      </c>
      <c r="G21" s="51"/>
      <c r="H21" s="32"/>
    </row>
    <row r="22" spans="1:8" ht="43.5" customHeight="1" thickBot="1" x14ac:dyDescent="0.25">
      <c r="A22" s="31"/>
      <c r="B22" s="37">
        <v>14</v>
      </c>
      <c r="C22" s="83" t="s">
        <v>240</v>
      </c>
      <c r="D22" s="84" t="s">
        <v>358</v>
      </c>
      <c r="E22" s="84" t="s">
        <v>359</v>
      </c>
      <c r="F22" s="84" t="s">
        <v>360</v>
      </c>
      <c r="G22" s="51"/>
      <c r="H22" s="32"/>
    </row>
    <row r="23" spans="1:8" ht="32.25" customHeight="1" thickBot="1" x14ac:dyDescent="0.25">
      <c r="A23" s="31"/>
      <c r="B23" s="37">
        <v>15</v>
      </c>
      <c r="C23" s="83" t="s">
        <v>123</v>
      </c>
      <c r="D23" s="84"/>
      <c r="E23" s="84"/>
      <c r="F23" s="84"/>
      <c r="G23" s="51"/>
      <c r="H23" s="32"/>
    </row>
    <row r="24" spans="1:8" ht="15" thickBot="1" x14ac:dyDescent="0.25">
      <c r="A24" s="39"/>
      <c r="B24" s="28"/>
      <c r="C24" s="40"/>
      <c r="D24" s="40"/>
      <c r="E24" s="40"/>
      <c r="F24" s="40"/>
      <c r="G24" s="40"/>
      <c r="H24" s="41"/>
    </row>
    <row r="25" spans="1:8" ht="13.5" thickTop="1" x14ac:dyDescent="0.2"/>
  </sheetData>
  <mergeCells count="9">
    <mergeCell ref="B7:C8"/>
    <mergeCell ref="D7:F7"/>
    <mergeCell ref="G7:G8"/>
    <mergeCell ref="A1:C1"/>
    <mergeCell ref="B2:C2"/>
    <mergeCell ref="B3:C3"/>
    <mergeCell ref="A6:H6"/>
    <mergeCell ref="B4:C4"/>
    <mergeCell ref="E3:F4"/>
  </mergeCells>
  <dataValidations count="1">
    <dataValidation type="list" allowBlank="1" showInputMessage="1" showErrorMessage="1" sqref="D3">
      <formula1>CatchmentAssessment</formula1>
    </dataValidation>
  </dataValidations>
  <printOptions horizontalCentered="1" verticalCentered="1"/>
  <pageMargins left="0.95" right="0.95" top="0.5" bottom="0.5" header="0.3" footer="0.3"/>
  <pageSetup scale="64" orientation="landscape" r:id="rId1"/>
  <headerFooter>
    <oddFooter>&amp;L&amp;12Version 2.0&amp;C&amp;12Catchment Assessment Form &amp;P of &amp;N&amp;R12-28-2016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'Pull Down Notes'!$B$57:$B$59</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24"/>
  <sheetViews>
    <sheetView zoomScaleNormal="100" workbookViewId="0">
      <selection activeCell="B1" sqref="B1"/>
    </sheetView>
  </sheetViews>
  <sheetFormatPr defaultRowHeight="15" x14ac:dyDescent="0.25"/>
  <cols>
    <col min="1" max="1" width="21.7109375" customWidth="1"/>
    <col min="2" max="2" width="30.42578125" bestFit="1" customWidth="1"/>
    <col min="3" max="3" width="81.7109375" customWidth="1"/>
  </cols>
  <sheetData>
    <row r="1" spans="1:3" ht="18.75" x14ac:dyDescent="0.3">
      <c r="A1" s="72" t="s">
        <v>231</v>
      </c>
      <c r="B1" s="14"/>
      <c r="C1" s="14"/>
    </row>
    <row r="2" spans="1:3" x14ac:dyDescent="0.25">
      <c r="A2" s="14" t="s">
        <v>450</v>
      </c>
      <c r="B2" s="14"/>
      <c r="C2" s="14"/>
    </row>
    <row r="3" spans="1:3" x14ac:dyDescent="0.25">
      <c r="A3" s="14" t="s">
        <v>232</v>
      </c>
      <c r="B3" s="14"/>
      <c r="C3" s="14"/>
    </row>
    <row r="4" spans="1:3" x14ac:dyDescent="0.25">
      <c r="A4" s="14" t="s">
        <v>233</v>
      </c>
      <c r="B4" s="14"/>
      <c r="C4" s="14"/>
    </row>
    <row r="5" spans="1:3" x14ac:dyDescent="0.25">
      <c r="A5" s="14"/>
      <c r="B5" s="14"/>
      <c r="C5" s="14"/>
    </row>
    <row r="6" spans="1:3" x14ac:dyDescent="0.25">
      <c r="A6" s="73" t="s">
        <v>1</v>
      </c>
      <c r="B6" s="73" t="s">
        <v>2</v>
      </c>
      <c r="C6" s="74" t="s">
        <v>234</v>
      </c>
    </row>
    <row r="7" spans="1:3" x14ac:dyDescent="0.25">
      <c r="A7" s="413" t="s">
        <v>78</v>
      </c>
      <c r="B7" s="56" t="s">
        <v>177</v>
      </c>
      <c r="C7" s="75" t="s">
        <v>364</v>
      </c>
    </row>
    <row r="8" spans="1:3" s="14" customFormat="1" x14ac:dyDescent="0.25">
      <c r="A8" s="414"/>
      <c r="B8" s="57" t="s">
        <v>328</v>
      </c>
      <c r="C8" s="75" t="s">
        <v>235</v>
      </c>
    </row>
    <row r="9" spans="1:3" x14ac:dyDescent="0.25">
      <c r="A9" s="414"/>
      <c r="B9" s="57" t="s">
        <v>337</v>
      </c>
      <c r="C9" s="75" t="s">
        <v>236</v>
      </c>
    </row>
    <row r="10" spans="1:3" x14ac:dyDescent="0.25">
      <c r="A10" s="67" t="s">
        <v>6</v>
      </c>
      <c r="B10" s="71" t="s">
        <v>7</v>
      </c>
      <c r="C10" s="82" t="s">
        <v>235</v>
      </c>
    </row>
    <row r="11" spans="1:3" x14ac:dyDescent="0.25">
      <c r="A11" s="415" t="s">
        <v>30</v>
      </c>
      <c r="B11" s="58" t="s">
        <v>31</v>
      </c>
      <c r="C11" s="76" t="s">
        <v>353</v>
      </c>
    </row>
    <row r="12" spans="1:3" x14ac:dyDescent="0.25">
      <c r="A12" s="416"/>
      <c r="B12" s="68" t="s">
        <v>54</v>
      </c>
      <c r="C12" s="77" t="s">
        <v>235</v>
      </c>
    </row>
    <row r="13" spans="1:3" x14ac:dyDescent="0.25">
      <c r="A13" s="416"/>
      <c r="B13" s="69" t="s">
        <v>56</v>
      </c>
      <c r="C13" s="77" t="s">
        <v>235</v>
      </c>
    </row>
    <row r="14" spans="1:3" s="14" customFormat="1" x14ac:dyDescent="0.25">
      <c r="A14" s="416"/>
      <c r="B14" s="69" t="s">
        <v>254</v>
      </c>
      <c r="C14" s="77" t="s">
        <v>355</v>
      </c>
    </row>
    <row r="15" spans="1:3" x14ac:dyDescent="0.25">
      <c r="A15" s="416"/>
      <c r="B15" s="78" t="s">
        <v>57</v>
      </c>
      <c r="C15" s="77" t="s">
        <v>235</v>
      </c>
    </row>
    <row r="16" spans="1:3" x14ac:dyDescent="0.25">
      <c r="A16" s="417"/>
      <c r="B16" s="70" t="s">
        <v>64</v>
      </c>
      <c r="C16" s="77" t="s">
        <v>235</v>
      </c>
    </row>
    <row r="17" spans="1:3" ht="30" x14ac:dyDescent="0.25">
      <c r="A17" s="418" t="s">
        <v>68</v>
      </c>
      <c r="B17" s="65" t="s">
        <v>161</v>
      </c>
      <c r="C17" s="368" t="s">
        <v>417</v>
      </c>
    </row>
    <row r="18" spans="1:3" x14ac:dyDescent="0.25">
      <c r="A18" s="419"/>
      <c r="B18" s="59" t="s">
        <v>338</v>
      </c>
      <c r="C18" s="79" t="s">
        <v>257</v>
      </c>
    </row>
    <row r="19" spans="1:3" x14ac:dyDescent="0.25">
      <c r="A19" s="419"/>
      <c r="B19" s="59" t="s">
        <v>194</v>
      </c>
      <c r="C19" s="79" t="s">
        <v>354</v>
      </c>
    </row>
    <row r="20" spans="1:3" x14ac:dyDescent="0.25">
      <c r="A20" s="419"/>
      <c r="B20" s="65" t="s">
        <v>195</v>
      </c>
      <c r="C20" s="79" t="s">
        <v>237</v>
      </c>
    </row>
    <row r="21" spans="1:3" x14ac:dyDescent="0.25">
      <c r="A21" s="419"/>
      <c r="B21" s="59" t="s">
        <v>162</v>
      </c>
      <c r="C21" s="79" t="s">
        <v>236</v>
      </c>
    </row>
    <row r="22" spans="1:3" x14ac:dyDescent="0.25">
      <c r="A22" s="420"/>
      <c r="B22" s="60" t="s">
        <v>163</v>
      </c>
      <c r="C22" s="79" t="s">
        <v>236</v>
      </c>
    </row>
    <row r="23" spans="1:3" x14ac:dyDescent="0.25">
      <c r="A23" s="421" t="s">
        <v>70</v>
      </c>
      <c r="B23" s="80" t="s">
        <v>93</v>
      </c>
      <c r="C23" s="81" t="s">
        <v>238</v>
      </c>
    </row>
    <row r="24" spans="1:3" x14ac:dyDescent="0.25">
      <c r="A24" s="422"/>
      <c r="B24" s="66" t="s">
        <v>146</v>
      </c>
      <c r="C24" s="81" t="s">
        <v>238</v>
      </c>
    </row>
  </sheetData>
  <mergeCells count="4">
    <mergeCell ref="A7:A9"/>
    <mergeCell ref="A11:A16"/>
    <mergeCell ref="A17:A22"/>
    <mergeCell ref="A23:A24"/>
  </mergeCells>
  <conditionalFormatting sqref="A6:B6 A23:B23 A10:B11 B24 B13:B16 B18:B22">
    <cfRule type="beginsWith" dxfId="2118" priority="10" stopIfTrue="1" operator="beginsWith" text="Functioning At Risk">
      <formula>LEFT(A6,LEN("Functioning At Risk"))="Functioning At Risk"</formula>
    </cfRule>
    <cfRule type="beginsWith" dxfId="2117" priority="11" stopIfTrue="1" operator="beginsWith" text="Not Functioning">
      <formula>LEFT(A6,LEN("Not Functioning"))="Not Functioning"</formula>
    </cfRule>
    <cfRule type="containsText" dxfId="2116" priority="12" operator="containsText" text="Functioning">
      <formula>NOT(ISERROR(SEARCH("Functioning",A6)))</formula>
    </cfRule>
  </conditionalFormatting>
  <conditionalFormatting sqref="B12">
    <cfRule type="beginsWith" dxfId="2115" priority="7" stopIfTrue="1" operator="beginsWith" text="Functioning At Risk">
      <formula>LEFT(B12,LEN("Functioning At Risk"))="Functioning At Risk"</formula>
    </cfRule>
    <cfRule type="beginsWith" dxfId="2114" priority="8" stopIfTrue="1" operator="beginsWith" text="Not Functioning">
      <formula>LEFT(B12,LEN("Not Functioning"))="Not Functioning"</formula>
    </cfRule>
    <cfRule type="containsText" dxfId="2113" priority="9" operator="containsText" text="Functioning">
      <formula>NOT(ISERROR(SEARCH("Functioning",B12)))</formula>
    </cfRule>
  </conditionalFormatting>
  <conditionalFormatting sqref="B17">
    <cfRule type="beginsWith" dxfId="2112" priority="4" stopIfTrue="1" operator="beginsWith" text="Functioning At Risk">
      <formula>LEFT(B17,LEN("Functioning At Risk"))="Functioning At Risk"</formula>
    </cfRule>
    <cfRule type="beginsWith" dxfId="2111" priority="5" stopIfTrue="1" operator="beginsWith" text="Not Functioning">
      <formula>LEFT(B17,LEN("Not Functioning"))="Not Functioning"</formula>
    </cfRule>
    <cfRule type="containsText" dxfId="2110" priority="6" operator="containsText" text="Functioning">
      <formula>NOT(ISERROR(SEARCH("Functioning",B17)))</formula>
    </cfRule>
  </conditionalFormatting>
  <conditionalFormatting sqref="A17">
    <cfRule type="beginsWith" dxfId="2109" priority="1" stopIfTrue="1" operator="beginsWith" text="Functioning At Risk">
      <formula>LEFT(A17,LEN("Functioning At Risk"))="Functioning At Risk"</formula>
    </cfRule>
    <cfRule type="beginsWith" dxfId="2108" priority="2" stopIfTrue="1" operator="beginsWith" text="Not Functioning">
      <formula>LEFT(A17,LEN("Not Functioning"))="Not Functioning"</formula>
    </cfRule>
    <cfRule type="containsText" dxfId="2107" priority="3" operator="containsText" text="Functioning">
      <formula>NOT(ISERROR(SEARCH("Functioning",A17)))</formula>
    </cfRule>
  </conditionalFormatting>
  <pageMargins left="0.7" right="0.7" top="0.75" bottom="0.75" header="0.3" footer="0.3"/>
  <pageSetup scale="91"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193"/>
  <sheetViews>
    <sheetView tabSelected="1" topLeftCell="A22" zoomScaleNormal="100" zoomScaleSheetLayoutView="70" workbookViewId="0">
      <selection activeCell="D99" sqref="D99"/>
    </sheetView>
  </sheetViews>
  <sheetFormatPr defaultRowHeight="15" x14ac:dyDescent="0.25"/>
  <cols>
    <col min="1" max="2" width="35.85546875" customWidth="1"/>
    <col min="3" max="3" width="20.7109375" customWidth="1"/>
    <col min="4" max="4" width="20.7109375" style="14" customWidth="1"/>
    <col min="5" max="5" width="20.28515625" customWidth="1"/>
    <col min="6" max="6" width="12.7109375" customWidth="1"/>
    <col min="7" max="7" width="14.42578125" style="14" customWidth="1"/>
    <col min="8" max="8" width="14.5703125" customWidth="1"/>
    <col min="9" max="9" width="19.28515625" style="14" bestFit="1" customWidth="1"/>
    <col min="10" max="10" width="10.28515625" customWidth="1"/>
    <col min="11" max="11" width="19.28515625" bestFit="1" customWidth="1"/>
    <col min="12" max="12" width="18.5703125" customWidth="1"/>
    <col min="13" max="13" width="13.7109375" customWidth="1"/>
  </cols>
  <sheetData>
    <row r="1" spans="1:11" ht="21" x14ac:dyDescent="0.35">
      <c r="A1" s="503" t="s">
        <v>255</v>
      </c>
      <c r="B1" s="504"/>
      <c r="D1" s="433" t="s">
        <v>85</v>
      </c>
      <c r="E1" s="434"/>
      <c r="F1" s="434"/>
      <c r="G1" s="434"/>
      <c r="H1" s="434"/>
      <c r="I1" s="434"/>
      <c r="J1" s="435"/>
    </row>
    <row r="2" spans="1:11" s="14" customFormat="1" ht="15.75" x14ac:dyDescent="0.25">
      <c r="A2" s="505"/>
      <c r="B2" s="506"/>
      <c r="D2" s="494" t="s">
        <v>86</v>
      </c>
      <c r="E2" s="495"/>
      <c r="F2" s="495"/>
      <c r="G2" s="495"/>
      <c r="H2" s="495"/>
      <c r="I2" s="495"/>
      <c r="J2" s="496"/>
    </row>
    <row r="3" spans="1:11" ht="15.75" x14ac:dyDescent="0.25">
      <c r="A3" s="86" t="s">
        <v>256</v>
      </c>
      <c r="B3" s="87"/>
      <c r="D3" s="497" t="s">
        <v>357</v>
      </c>
      <c r="E3" s="498"/>
      <c r="F3" s="498"/>
      <c r="G3" s="498"/>
      <c r="H3" s="498"/>
      <c r="I3" s="498"/>
      <c r="J3" s="499"/>
    </row>
    <row r="4" spans="1:11" s="14" customFormat="1" ht="15.75" x14ac:dyDescent="0.25">
      <c r="A4" s="86" t="s">
        <v>216</v>
      </c>
      <c r="B4" s="87"/>
      <c r="D4" s="511" t="s">
        <v>356</v>
      </c>
      <c r="E4" s="512"/>
      <c r="F4" s="512"/>
      <c r="G4" s="512"/>
      <c r="H4" s="512"/>
      <c r="I4" s="512"/>
      <c r="J4" s="513"/>
    </row>
    <row r="5" spans="1:11" s="14" customFormat="1" ht="15.75" x14ac:dyDescent="0.25">
      <c r="A5" s="86" t="s">
        <v>67</v>
      </c>
      <c r="B5" s="303"/>
      <c r="C5" s="13"/>
    </row>
    <row r="6" spans="1:11" s="14" customFormat="1" ht="19.899999999999999" customHeight="1" x14ac:dyDescent="0.35">
      <c r="A6" s="86" t="s">
        <v>239</v>
      </c>
      <c r="B6" s="303"/>
      <c r="C6" s="13"/>
      <c r="D6" s="433" t="s">
        <v>432</v>
      </c>
      <c r="E6" s="434"/>
      <c r="F6" s="435"/>
      <c r="H6" s="433" t="s">
        <v>433</v>
      </c>
      <c r="I6" s="434"/>
      <c r="J6" s="434"/>
      <c r="K6" s="435"/>
    </row>
    <row r="7" spans="1:11" ht="21" x14ac:dyDescent="0.35">
      <c r="A7" s="86" t="s">
        <v>165</v>
      </c>
      <c r="B7" s="303"/>
      <c r="C7" s="63"/>
      <c r="D7" s="164" t="s">
        <v>280</v>
      </c>
      <c r="E7" s="165"/>
      <c r="F7" s="89" t="str">
        <f>IFERROR(ROUND(J44,2),"")</f>
        <v/>
      </c>
      <c r="G7" s="201"/>
      <c r="H7" s="86" t="s">
        <v>283</v>
      </c>
      <c r="I7" s="208"/>
      <c r="J7" s="209"/>
      <c r="K7" s="200">
        <f>IFERROR(ROUND(SUM(B140,B165,B191),0),"")</f>
        <v>0</v>
      </c>
    </row>
    <row r="8" spans="1:11" s="14" customFormat="1" ht="15.75" x14ac:dyDescent="0.25">
      <c r="A8" s="86" t="s">
        <v>69</v>
      </c>
      <c r="B8" s="303"/>
      <c r="C8" s="63"/>
      <c r="D8" s="166" t="s">
        <v>281</v>
      </c>
      <c r="E8" s="167"/>
      <c r="F8" s="89" t="str">
        <f>IFERROR(ROUND(J82,2),"")</f>
        <v/>
      </c>
      <c r="G8" s="204"/>
      <c r="H8" s="86" t="s">
        <v>284</v>
      </c>
      <c r="I8" s="208"/>
      <c r="J8" s="209"/>
      <c r="K8" s="200">
        <f>IFERROR(ROUND(SUM(B141,B166,B192),0),"")</f>
        <v>0</v>
      </c>
    </row>
    <row r="9" spans="1:11" s="14" customFormat="1" ht="15.75" x14ac:dyDescent="0.25">
      <c r="A9" s="86" t="s">
        <v>17</v>
      </c>
      <c r="B9" s="87"/>
      <c r="C9" s="63"/>
      <c r="D9" s="164" t="s">
        <v>431</v>
      </c>
      <c r="E9" s="172"/>
      <c r="F9" s="199" t="str">
        <f>IFERROR(F8-F7,"")</f>
        <v/>
      </c>
      <c r="G9" s="204"/>
      <c r="H9" s="86" t="s">
        <v>285</v>
      </c>
      <c r="I9" s="208"/>
      <c r="J9" s="209"/>
      <c r="K9" s="200">
        <f>IFERROR(K8-K7,"")</f>
        <v>0</v>
      </c>
    </row>
    <row r="10" spans="1:11" ht="15.75" x14ac:dyDescent="0.25">
      <c r="A10" s="86" t="s">
        <v>169</v>
      </c>
      <c r="B10" s="303"/>
      <c r="C10" s="64"/>
      <c r="D10" s="168" t="s">
        <v>434</v>
      </c>
      <c r="E10" s="169"/>
      <c r="F10" s="173" t="str">
        <f>IFERROR(F9/F7,"")</f>
        <v/>
      </c>
      <c r="G10" s="205"/>
      <c r="H10" s="211" t="s">
        <v>430</v>
      </c>
      <c r="I10" s="298"/>
      <c r="J10" s="299"/>
      <c r="K10" s="210" t="str">
        <f>IFERROR(K9/K7,"")</f>
        <v/>
      </c>
    </row>
    <row r="11" spans="1:11" s="14" customFormat="1" ht="15.75" x14ac:dyDescent="0.25">
      <c r="A11" s="86" t="s">
        <v>83</v>
      </c>
      <c r="B11" s="87"/>
      <c r="C11" s="63"/>
      <c r="D11" s="164" t="s">
        <v>87</v>
      </c>
      <c r="E11" s="165"/>
      <c r="F11" s="90" t="str">
        <f>IF(B11="","",B11)</f>
        <v/>
      </c>
      <c r="G11" s="204"/>
    </row>
    <row r="12" spans="1:11" ht="15.75" x14ac:dyDescent="0.25">
      <c r="A12" s="86" t="s">
        <v>82</v>
      </c>
      <c r="B12" s="87"/>
      <c r="C12" s="64"/>
      <c r="D12" s="164" t="s">
        <v>164</v>
      </c>
      <c r="E12" s="165"/>
      <c r="F12" s="90" t="str">
        <f>IF(B12="","",B12)</f>
        <v/>
      </c>
      <c r="G12" s="204"/>
      <c r="H12" s="21"/>
      <c r="J12" s="21"/>
      <c r="K12" s="21"/>
    </row>
    <row r="13" spans="1:11" s="14" customFormat="1" ht="21" x14ac:dyDescent="0.35">
      <c r="A13" s="86" t="s">
        <v>168</v>
      </c>
      <c r="B13" s="87"/>
      <c r="C13" s="64"/>
      <c r="D13" s="153" t="s">
        <v>84</v>
      </c>
      <c r="E13" s="154"/>
      <c r="F13" s="90" t="str">
        <f>IFERROR(F12-F11,"")</f>
        <v/>
      </c>
      <c r="G13" s="204"/>
      <c r="H13" s="433" t="s">
        <v>282</v>
      </c>
      <c r="I13" s="434"/>
      <c r="J13" s="434"/>
      <c r="K13" s="435"/>
    </row>
    <row r="14" spans="1:11" ht="15.75" x14ac:dyDescent="0.25">
      <c r="A14" s="86" t="s">
        <v>29</v>
      </c>
      <c r="B14" s="303"/>
      <c r="C14" s="63"/>
      <c r="D14" s="153" t="s">
        <v>435</v>
      </c>
      <c r="E14" s="154"/>
      <c r="F14" s="91" t="str">
        <f>IFERROR(F7*F11,"")</f>
        <v/>
      </c>
      <c r="G14" s="203"/>
      <c r="H14" s="86" t="s">
        <v>286</v>
      </c>
      <c r="I14" s="208"/>
      <c r="J14" s="209"/>
      <c r="K14" s="200" t="str">
        <f>IFERROR(ROUND(F14+K7,0),"")</f>
        <v/>
      </c>
    </row>
    <row r="15" spans="1:11" ht="15.75" x14ac:dyDescent="0.25">
      <c r="A15" s="88" t="s">
        <v>128</v>
      </c>
      <c r="B15" s="303"/>
      <c r="C15" s="64"/>
      <c r="D15" s="170" t="s">
        <v>436</v>
      </c>
      <c r="E15" s="171"/>
      <c r="F15" s="91" t="str">
        <f>IFERROR(F12*F8,"")</f>
        <v/>
      </c>
      <c r="G15" s="203"/>
      <c r="H15" s="86" t="s">
        <v>287</v>
      </c>
      <c r="I15" s="208"/>
      <c r="J15" s="209"/>
      <c r="K15" s="200" t="str">
        <f>IFERROR(ROUND(F15+K8,0),"")</f>
        <v/>
      </c>
    </row>
    <row r="16" spans="1:11" s="14" customFormat="1" ht="15.75" x14ac:dyDescent="0.25">
      <c r="A16" s="88" t="s">
        <v>157</v>
      </c>
      <c r="B16" s="303"/>
      <c r="C16" s="64"/>
      <c r="D16" s="166" t="s">
        <v>226</v>
      </c>
      <c r="E16" s="202"/>
      <c r="F16" s="200" t="str">
        <f>IFERROR(F15-F14,"")</f>
        <v/>
      </c>
      <c r="G16" s="203"/>
      <c r="H16" s="207" t="s">
        <v>288</v>
      </c>
      <c r="I16" s="208"/>
      <c r="J16" s="209"/>
      <c r="K16" s="200" t="str">
        <f>IFERROR(K15-K14,"")</f>
        <v/>
      </c>
    </row>
    <row r="17" spans="1:12" s="14" customFormat="1" ht="15.75" x14ac:dyDescent="0.25">
      <c r="A17" s="88" t="s">
        <v>305</v>
      </c>
      <c r="B17" s="303"/>
      <c r="C17" s="64"/>
      <c r="D17" s="211" t="s">
        <v>430</v>
      </c>
      <c r="E17" s="208"/>
      <c r="F17" s="210" t="str">
        <f>IFERROR(F16/F14,"")</f>
        <v/>
      </c>
      <c r="G17" s="206"/>
      <c r="H17" s="211" t="s">
        <v>430</v>
      </c>
      <c r="I17" s="298"/>
      <c r="J17" s="299"/>
      <c r="K17" s="210" t="str">
        <f>IFERROR(K16/K14,"")</f>
        <v/>
      </c>
      <c r="L17" s="21"/>
    </row>
    <row r="18" spans="1:12" s="14" customFormat="1" ht="23.25" x14ac:dyDescent="0.35">
      <c r="A18" s="88" t="s">
        <v>380</v>
      </c>
      <c r="B18" s="303"/>
      <c r="C18" s="64"/>
      <c r="D18" s="519" t="str">
        <f>IF(OR(C25="",C27="",C28="",C30="",D25="",D27="",D28="",D30=""),"WARNING: Sufficient data are not provided.","")</f>
        <v>WARNING: Sufficient data are not provided.</v>
      </c>
      <c r="E18" s="519"/>
      <c r="F18" s="519"/>
      <c r="G18" s="519"/>
      <c r="H18" s="519"/>
      <c r="I18" s="519"/>
      <c r="J18" s="519"/>
      <c r="K18" s="519"/>
      <c r="L18" s="21"/>
    </row>
    <row r="19" spans="1:12" s="14" customFormat="1" x14ac:dyDescent="0.25">
      <c r="A19" s="1"/>
      <c r="B19" s="13"/>
      <c r="C19" s="13"/>
      <c r="D19" s="13"/>
      <c r="E19" s="13"/>
      <c r="F19" s="13"/>
      <c r="G19" s="13"/>
      <c r="H19" s="54"/>
      <c r="I19" s="54"/>
      <c r="J19" s="54"/>
      <c r="K19" s="54"/>
      <c r="L19" s="21"/>
    </row>
    <row r="20" spans="1:12" ht="30.75" customHeight="1" x14ac:dyDescent="0.25">
      <c r="A20" s="514" t="s">
        <v>289</v>
      </c>
      <c r="B20" s="515"/>
      <c r="C20" s="515"/>
      <c r="D20" s="516"/>
      <c r="E20" s="212"/>
      <c r="F20" s="520" t="s">
        <v>246</v>
      </c>
      <c r="G20" s="520"/>
      <c r="H20" s="520"/>
      <c r="I20" s="520"/>
      <c r="J20" s="520"/>
      <c r="K20" s="520"/>
    </row>
    <row r="21" spans="1:12" ht="15" customHeight="1" x14ac:dyDescent="0.25">
      <c r="A21" s="517" t="s">
        <v>1</v>
      </c>
      <c r="B21" s="517" t="s">
        <v>2</v>
      </c>
      <c r="C21" s="517" t="s">
        <v>88</v>
      </c>
      <c r="D21" s="517" t="s">
        <v>89</v>
      </c>
      <c r="E21" s="213"/>
      <c r="F21" s="500" t="s">
        <v>247</v>
      </c>
      <c r="G21" s="500"/>
      <c r="H21" s="500" t="s">
        <v>248</v>
      </c>
      <c r="I21" s="500" t="s">
        <v>249</v>
      </c>
      <c r="J21" s="500" t="s">
        <v>437</v>
      </c>
      <c r="K21" s="500"/>
      <c r="L21" s="14"/>
    </row>
    <row r="22" spans="1:12" ht="15" customHeight="1" x14ac:dyDescent="0.25">
      <c r="A22" s="518"/>
      <c r="B22" s="518"/>
      <c r="C22" s="518"/>
      <c r="D22" s="518"/>
      <c r="E22" s="213"/>
      <c r="F22" s="500"/>
      <c r="G22" s="500"/>
      <c r="H22" s="500"/>
      <c r="I22" s="500"/>
      <c r="J22" s="500"/>
      <c r="K22" s="500"/>
    </row>
    <row r="23" spans="1:12" ht="15.75" customHeight="1" x14ac:dyDescent="0.25">
      <c r="A23" s="447" t="s">
        <v>78</v>
      </c>
      <c r="B23" s="147" t="s">
        <v>177</v>
      </c>
      <c r="C23" s="93" t="str">
        <f>G44</f>
        <v/>
      </c>
      <c r="D23" s="93" t="str">
        <f>G82</f>
        <v/>
      </c>
      <c r="E23" s="214"/>
      <c r="F23" s="521" t="s">
        <v>78</v>
      </c>
      <c r="G23" s="521"/>
      <c r="H23" s="501" t="str">
        <f>H44</f>
        <v/>
      </c>
      <c r="I23" s="501" t="str">
        <f>H82</f>
        <v/>
      </c>
      <c r="J23" s="501" t="str">
        <f>IFERROR(ROUND(I23-H23,2),"")</f>
        <v/>
      </c>
      <c r="K23" s="501"/>
    </row>
    <row r="24" spans="1:12" ht="17.25" customHeight="1" x14ac:dyDescent="0.25">
      <c r="A24" s="507"/>
      <c r="B24" s="147" t="s">
        <v>328</v>
      </c>
      <c r="C24" s="93" t="str">
        <f>G45</f>
        <v/>
      </c>
      <c r="D24" s="93" t="str">
        <f>G83</f>
        <v/>
      </c>
      <c r="E24" s="214"/>
      <c r="F24" s="521"/>
      <c r="G24" s="521"/>
      <c r="H24" s="501"/>
      <c r="I24" s="501"/>
      <c r="J24" s="501"/>
      <c r="K24" s="501"/>
    </row>
    <row r="25" spans="1:12" ht="15.75" customHeight="1" x14ac:dyDescent="0.25">
      <c r="A25" s="148" t="s">
        <v>6</v>
      </c>
      <c r="B25" s="148" t="s">
        <v>7</v>
      </c>
      <c r="C25" s="93" t="str">
        <f>G48</f>
        <v/>
      </c>
      <c r="D25" s="93" t="str">
        <f>G86</f>
        <v/>
      </c>
      <c r="E25" s="214"/>
      <c r="F25" s="521"/>
      <c r="G25" s="521"/>
      <c r="H25" s="501"/>
      <c r="I25" s="501"/>
      <c r="J25" s="501"/>
      <c r="K25" s="501"/>
    </row>
    <row r="26" spans="1:12" ht="15.75" customHeight="1" x14ac:dyDescent="0.25">
      <c r="A26" s="439" t="s">
        <v>30</v>
      </c>
      <c r="B26" s="149" t="s">
        <v>31</v>
      </c>
      <c r="C26" s="93" t="str">
        <f>G50</f>
        <v/>
      </c>
      <c r="D26" s="93" t="str">
        <f>G88</f>
        <v/>
      </c>
      <c r="E26" s="214"/>
      <c r="F26" s="522" t="s">
        <v>6</v>
      </c>
      <c r="G26" s="522"/>
      <c r="H26" s="501" t="str">
        <f>H48</f>
        <v/>
      </c>
      <c r="I26" s="501" t="str">
        <f>H86</f>
        <v/>
      </c>
      <c r="J26" s="501" t="str">
        <f>IFERROR(ROUND(I26-H26,2),"")</f>
        <v/>
      </c>
      <c r="K26" s="501"/>
    </row>
    <row r="27" spans="1:12" ht="15.75" customHeight="1" x14ac:dyDescent="0.25">
      <c r="A27" s="443"/>
      <c r="B27" s="149" t="s">
        <v>54</v>
      </c>
      <c r="C27" s="93" t="str">
        <f>G52</f>
        <v/>
      </c>
      <c r="D27" s="93" t="str">
        <f>G90</f>
        <v/>
      </c>
      <c r="E27" s="214"/>
      <c r="F27" s="522"/>
      <c r="G27" s="522"/>
      <c r="H27" s="501"/>
      <c r="I27" s="501"/>
      <c r="J27" s="501"/>
      <c r="K27" s="501"/>
    </row>
    <row r="28" spans="1:12" ht="15.75" customHeight="1" x14ac:dyDescent="0.25">
      <c r="A28" s="443"/>
      <c r="B28" s="149" t="s">
        <v>56</v>
      </c>
      <c r="C28" s="93" t="str">
        <f>G55</f>
        <v/>
      </c>
      <c r="D28" s="93" t="str">
        <f>G93</f>
        <v/>
      </c>
      <c r="E28" s="214"/>
      <c r="F28" s="522"/>
      <c r="G28" s="522"/>
      <c r="H28" s="501"/>
      <c r="I28" s="501"/>
      <c r="J28" s="501"/>
      <c r="K28" s="501"/>
    </row>
    <row r="29" spans="1:12" ht="15.75" customHeight="1" x14ac:dyDescent="0.25">
      <c r="A29" s="443"/>
      <c r="B29" s="149" t="s">
        <v>250</v>
      </c>
      <c r="C29" s="93" t="str">
        <f>G63</f>
        <v/>
      </c>
      <c r="D29" s="93" t="str">
        <f>G101</f>
        <v/>
      </c>
      <c r="E29" s="214"/>
      <c r="F29" s="502" t="s">
        <v>30</v>
      </c>
      <c r="G29" s="502"/>
      <c r="H29" s="501" t="str">
        <f>H50</f>
        <v/>
      </c>
      <c r="I29" s="501" t="str">
        <f>H88</f>
        <v/>
      </c>
      <c r="J29" s="501" t="str">
        <f>IFERROR(ROUND(I29-H29,2),"")</f>
        <v/>
      </c>
      <c r="K29" s="501"/>
    </row>
    <row r="30" spans="1:12" s="14" customFormat="1" ht="15.75" customHeight="1" x14ac:dyDescent="0.25">
      <c r="A30" s="443"/>
      <c r="B30" s="149" t="s">
        <v>57</v>
      </c>
      <c r="C30" s="93" t="str">
        <f>G64</f>
        <v/>
      </c>
      <c r="D30" s="93" t="str">
        <f>G102</f>
        <v/>
      </c>
      <c r="E30" s="214"/>
      <c r="F30" s="502"/>
      <c r="G30" s="502"/>
      <c r="H30" s="501"/>
      <c r="I30" s="501"/>
      <c r="J30" s="501"/>
      <c r="K30" s="501"/>
    </row>
    <row r="31" spans="1:12" ht="15.75" customHeight="1" x14ac:dyDescent="0.25">
      <c r="A31" s="440"/>
      <c r="B31" s="149" t="s">
        <v>64</v>
      </c>
      <c r="C31" s="93" t="str">
        <f>G68</f>
        <v/>
      </c>
      <c r="D31" s="93" t="str">
        <f>G106</f>
        <v/>
      </c>
      <c r="E31" s="214"/>
      <c r="F31" s="502"/>
      <c r="G31" s="502"/>
      <c r="H31" s="501"/>
      <c r="I31" s="501"/>
      <c r="J31" s="501"/>
      <c r="K31" s="501"/>
    </row>
    <row r="32" spans="1:12" ht="15.75" customHeight="1" x14ac:dyDescent="0.25">
      <c r="A32" s="508" t="s">
        <v>68</v>
      </c>
      <c r="B32" s="150" t="s">
        <v>161</v>
      </c>
      <c r="C32" s="93" t="str">
        <f>G69</f>
        <v/>
      </c>
      <c r="D32" s="93" t="str">
        <f>G107</f>
        <v/>
      </c>
      <c r="E32" s="214"/>
      <c r="F32" s="502"/>
      <c r="G32" s="502"/>
      <c r="H32" s="501"/>
      <c r="I32" s="501"/>
      <c r="J32" s="501"/>
      <c r="K32" s="501"/>
    </row>
    <row r="33" spans="1:15" s="14" customFormat="1" ht="15.75" customHeight="1" x14ac:dyDescent="0.25">
      <c r="A33" s="509"/>
      <c r="B33" s="150" t="s">
        <v>194</v>
      </c>
      <c r="C33" s="93" t="str">
        <f>G70</f>
        <v/>
      </c>
      <c r="D33" s="93" t="str">
        <f>G108</f>
        <v/>
      </c>
      <c r="E33" s="214"/>
      <c r="F33" s="523" t="s">
        <v>68</v>
      </c>
      <c r="G33" s="524"/>
      <c r="H33" s="529" t="str">
        <f>H69</f>
        <v/>
      </c>
      <c r="I33" s="529" t="str">
        <f>H107</f>
        <v/>
      </c>
      <c r="J33" s="532" t="str">
        <f>IFERROR(ROUND(I33-H33,2),"")</f>
        <v/>
      </c>
      <c r="K33" s="533"/>
      <c r="L33"/>
    </row>
    <row r="34" spans="1:15" ht="15.75" customHeight="1" x14ac:dyDescent="0.25">
      <c r="A34" s="509"/>
      <c r="B34" s="150" t="s">
        <v>91</v>
      </c>
      <c r="C34" s="93" t="str">
        <f>G71</f>
        <v/>
      </c>
      <c r="D34" s="93" t="str">
        <f>G109</f>
        <v/>
      </c>
      <c r="E34" s="214"/>
      <c r="F34" s="525"/>
      <c r="G34" s="526"/>
      <c r="H34" s="530"/>
      <c r="I34" s="530"/>
      <c r="J34" s="534"/>
      <c r="K34" s="535"/>
      <c r="L34" s="18"/>
    </row>
    <row r="35" spans="1:15" ht="15.75" customHeight="1" x14ac:dyDescent="0.25">
      <c r="A35" s="509"/>
      <c r="B35" s="150" t="s">
        <v>162</v>
      </c>
      <c r="C35" s="93" t="str">
        <f>G73</f>
        <v/>
      </c>
      <c r="D35" s="93" t="str">
        <f>G111</f>
        <v/>
      </c>
      <c r="E35" s="214"/>
      <c r="F35" s="527"/>
      <c r="G35" s="528"/>
      <c r="H35" s="531"/>
      <c r="I35" s="531"/>
      <c r="J35" s="536"/>
      <c r="K35" s="537"/>
      <c r="L35" s="21"/>
    </row>
    <row r="36" spans="1:15" ht="15.75" customHeight="1" x14ac:dyDescent="0.25">
      <c r="A36" s="510"/>
      <c r="B36" s="150" t="s">
        <v>163</v>
      </c>
      <c r="C36" s="93" t="str">
        <f>G74</f>
        <v/>
      </c>
      <c r="D36" s="93" t="str">
        <f>G112</f>
        <v/>
      </c>
      <c r="E36" s="214"/>
      <c r="F36" s="538" t="s">
        <v>70</v>
      </c>
      <c r="G36" s="539"/>
      <c r="H36" s="529" t="str">
        <f>H75</f>
        <v/>
      </c>
      <c r="I36" s="529" t="str">
        <f>H113</f>
        <v/>
      </c>
      <c r="J36" s="532" t="str">
        <f>IFERROR(I36-H36,"")</f>
        <v/>
      </c>
      <c r="K36" s="533"/>
    </row>
    <row r="37" spans="1:15" ht="15.6" customHeight="1" x14ac:dyDescent="0.25">
      <c r="A37" s="427" t="s">
        <v>70</v>
      </c>
      <c r="B37" s="151" t="s">
        <v>93</v>
      </c>
      <c r="C37" s="93" t="str">
        <f>G75</f>
        <v/>
      </c>
      <c r="D37" s="93" t="str">
        <f>G113</f>
        <v/>
      </c>
      <c r="E37" s="214"/>
      <c r="F37" s="540"/>
      <c r="G37" s="541"/>
      <c r="H37" s="530"/>
      <c r="I37" s="530"/>
      <c r="J37" s="534"/>
      <c r="K37" s="535"/>
      <c r="M37" s="14"/>
    </row>
    <row r="38" spans="1:15" ht="18" customHeight="1" x14ac:dyDescent="0.25">
      <c r="A38" s="429"/>
      <c r="B38" s="151" t="s">
        <v>146</v>
      </c>
      <c r="C38" s="93" t="str">
        <f>G77</f>
        <v/>
      </c>
      <c r="D38" s="93" t="str">
        <f>G115</f>
        <v/>
      </c>
      <c r="E38" s="214"/>
      <c r="F38" s="542"/>
      <c r="G38" s="543"/>
      <c r="H38" s="531"/>
      <c r="I38" s="531"/>
      <c r="J38" s="536"/>
      <c r="K38" s="537"/>
    </row>
    <row r="39" spans="1:15" ht="15.75" x14ac:dyDescent="0.25">
      <c r="E39" s="214"/>
      <c r="F39" s="14"/>
      <c r="G39" s="54"/>
      <c r="H39" s="54"/>
      <c r="I39" s="21"/>
      <c r="J39" s="21"/>
    </row>
    <row r="40" spans="1:15" s="14" customFormat="1" ht="15" customHeight="1" x14ac:dyDescent="0.25">
      <c r="A40" s="1"/>
      <c r="B40" s="13"/>
      <c r="C40" s="13"/>
      <c r="D40" s="13"/>
      <c r="E40" s="13"/>
      <c r="F40" s="13"/>
      <c r="G40" s="13"/>
      <c r="H40" s="54"/>
      <c r="I40" s="54"/>
      <c r="J40" s="54"/>
      <c r="K40" s="54"/>
      <c r="L40" s="21"/>
    </row>
    <row r="41" spans="1:15" s="14" customFormat="1" ht="15" customHeight="1" x14ac:dyDescent="0.25">
      <c r="A41" s="1"/>
      <c r="B41" s="13"/>
      <c r="C41" s="13"/>
      <c r="D41" s="13"/>
      <c r="E41" s="13"/>
      <c r="F41" s="13"/>
      <c r="G41" s="13"/>
      <c r="H41" s="54"/>
      <c r="I41" s="54"/>
      <c r="J41" s="54"/>
      <c r="K41" s="54"/>
      <c r="L41" s="21"/>
    </row>
    <row r="42" spans="1:15" ht="21" x14ac:dyDescent="0.35">
      <c r="A42" s="433" t="s">
        <v>65</v>
      </c>
      <c r="B42" s="434"/>
      <c r="C42" s="434"/>
      <c r="D42" s="434"/>
      <c r="E42" s="434"/>
      <c r="F42" s="435"/>
      <c r="G42" s="433" t="s">
        <v>18</v>
      </c>
      <c r="H42" s="434"/>
      <c r="I42" s="434"/>
      <c r="J42" s="434"/>
      <c r="K42" s="435"/>
      <c r="L42" s="21"/>
      <c r="N42" s="14"/>
      <c r="O42" s="14"/>
    </row>
    <row r="43" spans="1:15" ht="15.75" x14ac:dyDescent="0.25">
      <c r="A43" s="94" t="s">
        <v>1</v>
      </c>
      <c r="B43" s="94" t="s">
        <v>2</v>
      </c>
      <c r="C43" s="462" t="s">
        <v>3</v>
      </c>
      <c r="D43" s="463"/>
      <c r="E43" s="300" t="s">
        <v>15</v>
      </c>
      <c r="F43" s="297" t="s">
        <v>16</v>
      </c>
      <c r="G43" s="94" t="s">
        <v>19</v>
      </c>
      <c r="H43" s="94" t="s">
        <v>20</v>
      </c>
      <c r="I43" s="94" t="s">
        <v>20</v>
      </c>
      <c r="J43" s="94" t="s">
        <v>21</v>
      </c>
      <c r="K43" s="95" t="s">
        <v>21</v>
      </c>
      <c r="L43" s="21"/>
      <c r="N43" s="14"/>
      <c r="O43" s="14"/>
    </row>
    <row r="44" spans="1:15" ht="15.75" x14ac:dyDescent="0.25">
      <c r="A44" s="447" t="s">
        <v>78</v>
      </c>
      <c r="B44" s="96" t="s">
        <v>177</v>
      </c>
      <c r="C44" s="97" t="s">
        <v>329</v>
      </c>
      <c r="D44" s="97"/>
      <c r="E44" s="313"/>
      <c r="F44" s="260" t="str">
        <f>IF(E44="","",IF(E44&gt;78,0,IF(E44&lt;30,1,ROUND('Performance Standards'!C$14*E44^2+'Performance Standards'!C$15*E44+'Performance Standards'!C$16,2))))</f>
        <v/>
      </c>
      <c r="G44" s="157" t="str">
        <f>IFERROR(AVERAGE(F44),"")</f>
        <v/>
      </c>
      <c r="H44" s="492" t="str">
        <f>IFERROR(ROUND(AVERAGE(G44:G47),2),"")</f>
        <v/>
      </c>
      <c r="I44" s="425" t="str">
        <f>IF(H44="","",IF(H44&gt;0.69,"Functioning",IF(H44&gt;0.29,"Functioning At Risk",IF(H44&gt;-1,"Not Functioning"))))</f>
        <v/>
      </c>
      <c r="J44" s="423" t="str">
        <f>IF(AND(H44="",H48="",H50="",H69="",H75=""),"",ROUND((IF(H44="",0,H44)*0.2)+(IF(H48="",0,H48)*0.2)+(IF(H50="",0,H50)*0.2)+(IF(H69="",0,H69)*0.2)+(IF(H75="",0,H75)*0.2),2))</f>
        <v/>
      </c>
      <c r="K44" s="423" t="str">
        <f>IF(J44="","",IF(J44&lt;0.3, "Not Functioning",IF(OR(H44&lt;0.7,H48&lt;0.7,H50&lt;0.7,H69&lt;0.7,H75&lt;0.7),"Functioning At Risk",IF(J44&lt;0.7,"Functioning At Risk","Functioning"))))</f>
        <v/>
      </c>
      <c r="L44" s="21"/>
      <c r="N44" s="19"/>
      <c r="O44" s="14"/>
    </row>
    <row r="45" spans="1:15" s="14" customFormat="1" ht="15.75" x14ac:dyDescent="0.25">
      <c r="A45" s="448"/>
      <c r="B45" s="489" t="s">
        <v>328</v>
      </c>
      <c r="C45" s="257" t="s">
        <v>329</v>
      </c>
      <c r="D45" s="256"/>
      <c r="E45" s="253"/>
      <c r="F45" s="260" t="str">
        <f>IF(E45="","",IF(E45&gt;78,0,IF(E45&lt;30,1,ROUND('Performance Standards'!C$14*E45^2+'Performance Standards'!C$15*E45+'Performance Standards'!C$16,2))))</f>
        <v/>
      </c>
      <c r="G45" s="486" t="str">
        <f>IFERROR(AVERAGE(F45:F47),"")</f>
        <v/>
      </c>
      <c r="H45" s="493"/>
      <c r="I45" s="425"/>
      <c r="J45" s="423"/>
      <c r="K45" s="423"/>
      <c r="L45" s="21"/>
      <c r="N45" s="19"/>
    </row>
    <row r="46" spans="1:15" s="14" customFormat="1" ht="15.75" x14ac:dyDescent="0.25">
      <c r="A46" s="448"/>
      <c r="B46" s="490"/>
      <c r="C46" s="258" t="s">
        <v>330</v>
      </c>
      <c r="D46" s="97"/>
      <c r="E46" s="304"/>
      <c r="F46" s="98" t="str">
        <f>IF(E46="","",IF(E46&gt;3,0,IF(E46=0,1,ROUND('Performance Standards'!C$48*E46+'Performance Standards'!C$49,2))))</f>
        <v/>
      </c>
      <c r="G46" s="487"/>
      <c r="H46" s="493"/>
      <c r="I46" s="425"/>
      <c r="J46" s="423"/>
      <c r="K46" s="423"/>
      <c r="L46" s="21"/>
      <c r="N46" s="19"/>
    </row>
    <row r="47" spans="1:15" s="14" customFormat="1" ht="15.75" x14ac:dyDescent="0.25">
      <c r="A47" s="448"/>
      <c r="B47" s="491"/>
      <c r="C47" s="259" t="s">
        <v>331</v>
      </c>
      <c r="D47" s="101"/>
      <c r="E47" s="305"/>
      <c r="F47" s="255" t="str">
        <f>IF(E47="","",IF(E47&gt;=30,1,ROUND('Performance Standards'!$C$83*E47^2+'Performance Standards'!$C$84*E47+'Performance Standards'!$C$85,2)))</f>
        <v/>
      </c>
      <c r="G47" s="488"/>
      <c r="H47" s="493"/>
      <c r="I47" s="425"/>
      <c r="J47" s="423"/>
      <c r="K47" s="423"/>
      <c r="L47" s="21"/>
      <c r="N47" s="19"/>
      <c r="O47" s="19"/>
    </row>
    <row r="48" spans="1:15" s="14" customFormat="1" ht="15.75" x14ac:dyDescent="0.25">
      <c r="A48" s="445" t="s">
        <v>6</v>
      </c>
      <c r="B48" s="445" t="s">
        <v>7</v>
      </c>
      <c r="C48" s="102" t="s">
        <v>8</v>
      </c>
      <c r="D48" s="102"/>
      <c r="E48" s="304"/>
      <c r="F48" s="103" t="str">
        <f>IF(E48="","",ROUND(IF(E48&gt;1.6,0,IF(E48&lt;=1,1,E48^2*'Performance Standards'!K$14+E48*'Performance Standards'!K$15+'Performance Standards'!K$16)),2))</f>
        <v/>
      </c>
      <c r="G48" s="449" t="str">
        <f>IFERROR(AVERAGE(F48:F49),"")</f>
        <v/>
      </c>
      <c r="H48" s="449" t="str">
        <f>IFERROR(ROUND(AVERAGE(G48),2),"")</f>
        <v/>
      </c>
      <c r="I48" s="436" t="str">
        <f>IF(H48="","",IF(H48&gt;0.69,"Functioning",IF(H48&gt;0.29,"Functioning At Risk",IF(H48&gt;-1,"Not Functioning"))))</f>
        <v/>
      </c>
      <c r="J48" s="423"/>
      <c r="K48" s="423"/>
      <c r="L48" s="21"/>
      <c r="N48" s="19"/>
      <c r="O48" s="19"/>
    </row>
    <row r="49" spans="1:15" s="14" customFormat="1" ht="15.75" x14ac:dyDescent="0.25">
      <c r="A49" s="446"/>
      <c r="B49" s="446"/>
      <c r="C49" s="104" t="s">
        <v>9</v>
      </c>
      <c r="D49" s="104"/>
      <c r="E49" s="305"/>
      <c r="F49" s="105" t="str">
        <f>IF(E49="","",IF(OR(B$7="A",B$7="B", B$7="Bc"),IF(E49&lt;1.2,0,IF(E49&gt;=2.2,1,ROUND(IF(E49&lt;1.4,E49*'Performance Standards'!$K$84+'Performance Standards'!$K$85,E49*'Performance Standards'!$L$84+'Performance Standards'!$L$85),2))),IF(OR(B$7="C",B$7="E"),IF(E49&lt;2,0,IF(E49&gt;=5,1,ROUND(IF(E49&lt;2.4,E49*'Performance Standards'!$L$49+'Performance Standards'!$L$50,E49*'Performance Standards'!$K$49+'Performance Standards'!$K$50),2))))))</f>
        <v/>
      </c>
      <c r="G49" s="450"/>
      <c r="H49" s="450"/>
      <c r="I49" s="437"/>
      <c r="J49" s="423"/>
      <c r="K49" s="423"/>
      <c r="L49" s="21"/>
      <c r="N49" s="19"/>
      <c r="O49" s="19"/>
    </row>
    <row r="50" spans="1:15" s="14" customFormat="1" ht="15.75" x14ac:dyDescent="0.25">
      <c r="A50" s="439" t="s">
        <v>30</v>
      </c>
      <c r="B50" s="439" t="s">
        <v>31</v>
      </c>
      <c r="C50" s="111" t="s">
        <v>27</v>
      </c>
      <c r="D50" s="318"/>
      <c r="E50" s="253"/>
      <c r="F50" s="132" t="str">
        <f>IF(E50="","",IF(E50&gt;700,1,IF(E50&lt;300,ROUND('Performance Standards'!$S$14*(E50^2)+'Performance Standards'!$S$15*E50+'Performance Standards'!$S$16,2),ROUND('Performance Standards'!$T$15*E50+'Performance Standards'!$T$16,2))))</f>
        <v/>
      </c>
      <c r="G50" s="441" t="str">
        <f>IFERROR(AVERAGE(F50:F51),"")</f>
        <v/>
      </c>
      <c r="H50" s="438" t="str">
        <f>IFERROR(ROUND(AVERAGE(G50:G68),2),"")</f>
        <v/>
      </c>
      <c r="I50" s="423" t="str">
        <f>IF(H50="","",IF(H50&gt;0.69,"Functioning",IF(H50&gt;0.29,"Functioning At Risk",IF(H50&gt;-1,"Not Functioning"))))</f>
        <v/>
      </c>
      <c r="J50" s="423"/>
      <c r="K50" s="423"/>
      <c r="L50" s="21"/>
      <c r="N50" s="19"/>
      <c r="O50" s="19"/>
    </row>
    <row r="51" spans="1:15" s="14" customFormat="1" ht="15.75" x14ac:dyDescent="0.25">
      <c r="A51" s="443"/>
      <c r="B51" s="440"/>
      <c r="C51" s="113" t="s">
        <v>369</v>
      </c>
      <c r="D51" s="317"/>
      <c r="E51" s="305"/>
      <c r="F51" s="319" t="str">
        <f>IF(E51="","",IF(E51&gt;30,1,IF(E51&lt;16,ROUND('Performance Standards'!$S$48*(E51^2)+'Performance Standards'!$S$49*E51+'Performance Standards'!$S$50,2),ROUND('Performance Standards'!$T$49*E51+'Performance Standards'!$T$50,2))))</f>
        <v/>
      </c>
      <c r="G51" s="442"/>
      <c r="H51" s="438"/>
      <c r="I51" s="423"/>
      <c r="J51" s="423"/>
      <c r="K51" s="423"/>
      <c r="L51" s="21"/>
      <c r="N51" s="19"/>
      <c r="O51" s="19"/>
    </row>
    <row r="52" spans="1:15" s="14" customFormat="1" ht="15.75" x14ac:dyDescent="0.25">
      <c r="A52" s="443"/>
      <c r="B52" s="443" t="s">
        <v>54</v>
      </c>
      <c r="C52" s="108" t="s">
        <v>156</v>
      </c>
      <c r="D52" s="108"/>
      <c r="E52" s="304"/>
      <c r="F52" s="109" t="str">
        <f>IF(E52="","",ROUND(IF(E52&gt;0.7,0,IF(E52&lt;=0.1,1,E52^3*'Performance Standards'!S$83+E52^2*'Performance Standards'!S$84+E52*'Performance Standards'!S$85+'Performance Standards'!S$86)),2))</f>
        <v/>
      </c>
      <c r="G52" s="444" t="str">
        <f>IFERROR(IF(E52="",AVERAGE(F53:F54),IF(E53="",F52,MAX(F52,AVERAGE(F53:F54)))),"")</f>
        <v/>
      </c>
      <c r="H52" s="438"/>
      <c r="I52" s="423"/>
      <c r="J52" s="423"/>
      <c r="K52" s="423"/>
      <c r="L52" s="21"/>
      <c r="N52" s="19"/>
      <c r="O52" s="19"/>
    </row>
    <row r="53" spans="1:15" s="14" customFormat="1" ht="15.75" x14ac:dyDescent="0.25">
      <c r="A53" s="443"/>
      <c r="B53" s="443"/>
      <c r="C53" s="108" t="s">
        <v>55</v>
      </c>
      <c r="D53" s="108"/>
      <c r="E53" s="304"/>
      <c r="F53" s="109" t="str">
        <f>IF(E53="","",IF(OR(E53="Ex/Ex",E53="Ex/VH"),0, IF(OR(E53="Ex/H",E53="VH/Ex",E53="VH/VH", E53="H/Ex",E53="H/VH",E53="M/Ex"),0.1,IF(OR(E53="Ex/M",E53="VH/H",E53="H/H", E53="M/VH"),0.2, IF(OR(E53="Ex/L",E53="VH/M",E53="H/M", E53="M/H",E53="L/Ex"),0.3, IF(OR(E53="Ex/VL",E53="VH/L",E53="H/L"),0.4, IF(OR(E53="VH/VL",E53="H/VL",E53="M/M", E53="L/VH"),0.5, IF(OR(E53="M/L",E53="L/H"),0.6, IF(OR(E53="M/VL",E53="L/M"),0.7, IF(OR(E53="L/L",E53="L/VL"),1))))))))))</f>
        <v/>
      </c>
      <c r="G53" s="444"/>
      <c r="H53" s="438"/>
      <c r="I53" s="423"/>
      <c r="J53" s="423"/>
      <c r="K53" s="423"/>
      <c r="L53" s="21"/>
      <c r="N53" s="19"/>
      <c r="O53" s="19"/>
    </row>
    <row r="54" spans="1:15" s="14" customFormat="1" ht="15.75" x14ac:dyDescent="0.25">
      <c r="A54" s="443"/>
      <c r="B54" s="443"/>
      <c r="C54" s="110" t="s">
        <v>192</v>
      </c>
      <c r="D54" s="110"/>
      <c r="E54" s="305"/>
      <c r="F54" s="118" t="str">
        <f>IF(E54="","",ROUND(IF(E54&gt;40,0,IF(E54&lt;5,1,E54^3*'Performance Standards'!S$118+E54^2*'Performance Standards'!S$119+E54*'Performance Standards'!S$120+'Performance Standards'!S$121)),2))</f>
        <v/>
      </c>
      <c r="G54" s="444"/>
      <c r="H54" s="438"/>
      <c r="I54" s="423"/>
      <c r="J54" s="423"/>
      <c r="K54" s="423"/>
      <c r="L54" s="21"/>
      <c r="N54" s="19"/>
      <c r="O54" s="19"/>
    </row>
    <row r="55" spans="1:15" s="14" customFormat="1" ht="15.75" x14ac:dyDescent="0.25">
      <c r="A55" s="443"/>
      <c r="B55" s="439" t="s">
        <v>56</v>
      </c>
      <c r="C55" s="111" t="s">
        <v>242</v>
      </c>
      <c r="D55" s="114"/>
      <c r="E55" s="253"/>
      <c r="F55" s="132" t="str">
        <f>IF(E55="","",ROUND(IF(E55&gt;90,1,E55^2*'Performance Standards'!S$153+E55*'Performance Standards'!S$154+'Performance Standards'!S$155),2))</f>
        <v/>
      </c>
      <c r="G55" s="441" t="str">
        <f>IFERROR(AVERAGE(F55:F62),"")</f>
        <v/>
      </c>
      <c r="H55" s="438"/>
      <c r="I55" s="423"/>
      <c r="J55" s="423"/>
      <c r="K55" s="423"/>
      <c r="L55" s="21"/>
      <c r="N55" s="19"/>
      <c r="O55" s="19"/>
    </row>
    <row r="56" spans="1:15" s="14" customFormat="1" ht="15.75" x14ac:dyDescent="0.25">
      <c r="A56" s="443"/>
      <c r="B56" s="443"/>
      <c r="C56" s="112" t="s">
        <v>243</v>
      </c>
      <c r="D56" s="108"/>
      <c r="E56" s="304"/>
      <c r="F56" s="109" t="str">
        <f>IF(E56="","",ROUND(IF(E56&gt;90,1,E56^2*'Performance Standards'!S$153+E56*'Performance Standards'!S$154+'Performance Standards'!S$155),2))</f>
        <v/>
      </c>
      <c r="G56" s="444"/>
      <c r="H56" s="438"/>
      <c r="I56" s="423"/>
      <c r="J56" s="423"/>
      <c r="K56" s="423"/>
      <c r="L56" s="21"/>
      <c r="N56" s="19"/>
      <c r="O56" s="19"/>
    </row>
    <row r="57" spans="1:15" s="14" customFormat="1" ht="15.75" x14ac:dyDescent="0.25">
      <c r="A57" s="443"/>
      <c r="B57" s="443"/>
      <c r="C57" s="112" t="s">
        <v>170</v>
      </c>
      <c r="D57" s="108"/>
      <c r="E57" s="304"/>
      <c r="F57" s="109" t="str">
        <f>IF(E57="","",ROUND(IF(OR(B$7="A",B$7="B",B$7="Bc"),IF(E57&gt;=50,1, IF(E57&lt;30, E57*'Performance Standards'!S$188+'Performance Standards'!S$189, E57*'Performance Standards'!T$188+'Performance Standards'!T$189)), IF(E57&gt;=150,1,IF(E57&lt;48, E57^2*'Performance Standards'!S$222+E57*'Performance Standards'!S$223+'Performance Standards'!S$224, E57*'Performance Standards'!T$223+'Performance Standards'!T$224))),2))</f>
        <v/>
      </c>
      <c r="G57" s="444"/>
      <c r="H57" s="438"/>
      <c r="I57" s="423"/>
      <c r="J57" s="423"/>
      <c r="K57" s="423"/>
      <c r="L57" s="21"/>
      <c r="N57" s="19"/>
      <c r="O57" s="19"/>
    </row>
    <row r="58" spans="1:15" s="14" customFormat="1" ht="15.75" x14ac:dyDescent="0.25">
      <c r="A58" s="443"/>
      <c r="B58" s="443"/>
      <c r="C58" s="112" t="s">
        <v>171</v>
      </c>
      <c r="D58" s="108"/>
      <c r="E58" s="304"/>
      <c r="F58" s="109" t="str">
        <f>IF(E58="","",ROUND(IF(OR(B$7="A",B$7="B",B$7="Bc"),IF(E58&gt;=50,1, IF(E58&lt;30, E58*'Performance Standards'!S$188+'Performance Standards'!S$189, E58*'Performance Standards'!T$188+'Performance Standards'!T$189)), IF(E58&gt;=150,1,IF(E58&lt;48, E58^2*'Performance Standards'!S$222+E58*'Performance Standards'!S$223+'Performance Standards'!S$224, E58*'Performance Standards'!T$223+'Performance Standards'!T$224))),2))</f>
        <v/>
      </c>
      <c r="G58" s="444"/>
      <c r="H58" s="438"/>
      <c r="I58" s="423"/>
      <c r="J58" s="423"/>
      <c r="K58" s="423"/>
      <c r="L58" s="21"/>
      <c r="N58" s="19"/>
      <c r="O58" s="19"/>
    </row>
    <row r="59" spans="1:15" s="14" customFormat="1" ht="15.75" x14ac:dyDescent="0.25">
      <c r="A59" s="443"/>
      <c r="B59" s="443"/>
      <c r="C59" s="108" t="s">
        <v>251</v>
      </c>
      <c r="D59" s="108"/>
      <c r="E59" s="304"/>
      <c r="F59" s="109" t="str">
        <f>IF(E59="","",ROUND(IF(E59&gt;100,1,E59^2*'Performance Standards'!S$255+E59*'Performance Standards'!S$256+'Performance Standards'!S$257),2))</f>
        <v/>
      </c>
      <c r="G59" s="444"/>
      <c r="H59" s="438"/>
      <c r="I59" s="423"/>
      <c r="J59" s="423"/>
      <c r="K59" s="423"/>
      <c r="L59" s="21"/>
      <c r="N59" s="19"/>
      <c r="O59" s="19"/>
    </row>
    <row r="60" spans="1:15" s="14" customFormat="1" ht="15.75" x14ac:dyDescent="0.25">
      <c r="A60" s="443"/>
      <c r="B60" s="443"/>
      <c r="C60" s="108" t="s">
        <v>252</v>
      </c>
      <c r="D60" s="108"/>
      <c r="E60" s="304"/>
      <c r="F60" s="109" t="str">
        <f>IF(E60="","",ROUND(IF(E60&gt;100,1,E60^2*'Performance Standards'!S$255+E60*'Performance Standards'!S$256+'Performance Standards'!S$257),2))</f>
        <v/>
      </c>
      <c r="G60" s="444"/>
      <c r="H60" s="438"/>
      <c r="I60" s="423"/>
      <c r="J60" s="423"/>
      <c r="K60" s="423"/>
      <c r="L60" s="21"/>
      <c r="N60" s="19"/>
      <c r="O60" s="19"/>
    </row>
    <row r="61" spans="1:15" s="14" customFormat="1" ht="15.75" x14ac:dyDescent="0.25">
      <c r="A61" s="443"/>
      <c r="B61" s="443"/>
      <c r="C61" s="112" t="s">
        <v>342</v>
      </c>
      <c r="D61" s="108"/>
      <c r="E61" s="304"/>
      <c r="F61" s="109" t="str">
        <f>IF(E61="","",ROUND(IF(E61&gt;=260,0.5,E61*'Performance Standards'!S$288+'Performance Standards'!S$289),2))</f>
        <v/>
      </c>
      <c r="G61" s="444"/>
      <c r="H61" s="438"/>
      <c r="I61" s="423"/>
      <c r="J61" s="423"/>
      <c r="K61" s="423"/>
      <c r="L61" s="21"/>
      <c r="N61" s="19"/>
      <c r="O61" s="19"/>
    </row>
    <row r="62" spans="1:15" s="14" customFormat="1" ht="15.75" x14ac:dyDescent="0.25">
      <c r="A62" s="443"/>
      <c r="B62" s="443"/>
      <c r="C62" s="113" t="s">
        <v>343</v>
      </c>
      <c r="D62" s="116"/>
      <c r="E62" s="304"/>
      <c r="F62" s="219" t="str">
        <f>IF(E62="","",ROUND(IF(E62&gt;=260,0.5,E62*'Performance Standards'!S$288+'Performance Standards'!S$289),2))</f>
        <v/>
      </c>
      <c r="G62" s="442"/>
      <c r="H62" s="438"/>
      <c r="I62" s="423"/>
      <c r="J62" s="423"/>
      <c r="K62" s="423"/>
      <c r="L62" s="21"/>
      <c r="N62" s="19"/>
      <c r="O62" s="19"/>
    </row>
    <row r="63" spans="1:15" s="14" customFormat="1" ht="15.75" x14ac:dyDescent="0.25">
      <c r="A63" s="443"/>
      <c r="B63" s="106" t="s">
        <v>254</v>
      </c>
      <c r="C63" s="131" t="s">
        <v>345</v>
      </c>
      <c r="D63" s="108"/>
      <c r="E63" s="87"/>
      <c r="F63" s="109" t="str">
        <f>IF(E63="","",IF(B$10="Gravel",IF(E63&gt;0.1,1,IF(E63&lt;=0.01,0,ROUND(E63*'Performance Standards'!$S$323+'Performance Standards'!$S$324,2)))))</f>
        <v/>
      </c>
      <c r="G63" s="155" t="str">
        <f>IFERROR(AVERAGE(F63),"")</f>
        <v/>
      </c>
      <c r="H63" s="438"/>
      <c r="I63" s="423"/>
      <c r="J63" s="423"/>
      <c r="K63" s="423"/>
      <c r="L63" s="21"/>
      <c r="N63" s="19"/>
      <c r="O63" s="19"/>
    </row>
    <row r="64" spans="1:15" s="14" customFormat="1" ht="15.75" x14ac:dyDescent="0.25">
      <c r="A64" s="443"/>
      <c r="B64" s="439" t="s">
        <v>57</v>
      </c>
      <c r="C64" s="114" t="s">
        <v>58</v>
      </c>
      <c r="D64" s="114"/>
      <c r="E64" s="253"/>
      <c r="F64" s="115" t="str">
        <f>IF(E64="","",IF(B$13&gt;=4,IF(AND(E64&lt;=5,E64&gt;=0.1),1,IF(OR(E64&lt;0.1,E64&gt;8),0,ROUND(E64*'Performance Standards'!$S$357+'Performance Standards'!$S$358,2))), IF(AND(B$9&gt;=10,OR(B$7="C",B$7="E")),IF(OR(E64&lt;3,E64&gt;8),0,IF(AND(E64&gt;=4,E64&lt;=7),1,ROUND(E64^2*'Performance Standards'!$S$389+E64*'Performance Standards'!$S$390+'Performance Standards'!$S$391,2))),  IF(AND(B$9&lt;10,OR(B$7="C",B$7="E")),IF(OR(E64&lt;3,E64&gt;7),0,IF(E64&lt;4,ROUND(E64*'Performance Standards'!$S$423+'Performance Standards'!$S$424,2), IF(E64&gt;5, ROUND(E64*'Performance Standards'!$T$423+'Performance Standards'!T$424,2),1))),IF(OR(AND(B$13&lt;2,B$7="Bc"),AND(B$13&gt;=2,B$13&lt;=4,B$7="B")),ROUND(IF(E64&gt;8,0,IF(E64&lt;=0.6,1,E64^2*'Performance Standards'!$S$455+E64*'Performance Standards'!$S$456+'Performance Standards'!$S$457)),2))))))</f>
        <v/>
      </c>
      <c r="G64" s="441" t="str">
        <f>IFERROR(AVERAGE(F64:F67),"")</f>
        <v/>
      </c>
      <c r="H64" s="438"/>
      <c r="I64" s="423"/>
      <c r="J64" s="423"/>
      <c r="K64" s="423"/>
      <c r="L64" s="21"/>
      <c r="N64" s="19"/>
      <c r="O64" s="19"/>
    </row>
    <row r="65" spans="1:15" s="14" customFormat="1" ht="15.75" x14ac:dyDescent="0.25">
      <c r="A65" s="443"/>
      <c r="B65" s="443"/>
      <c r="C65" s="108" t="s">
        <v>59</v>
      </c>
      <c r="D65" s="108"/>
      <c r="E65" s="304"/>
      <c r="F65" s="109" t="str">
        <f>IF(E65="","",IF(E65&lt;=1.1,0,IF(OR(B$7="A", B$7="B", B$7="Bc"),IF(E65&gt;1.74,1,ROUND(IF(E65&lt;1.2,E65*'Performance Standards'!S$556+'Performance Standards'!S$557,E65*'Performance Standards'!T$556+'Performance Standards'!T$557),2)),IF(OR(B$7="C", B$7="E"),IF(B$10="Gravel",IF(E65&gt;1.74,1,ROUND(IF(E65&lt;1.2,E65*'Performance Standards'!S$489+'Performance Standards'!S$490,E65*'Performance Standards'!T$489+'Performance Standards'!T$490),2)),IF(B$10="Sand",IF(E65&gt;=1.25,1,ROUND(E65^2*'Performance Standards'!S$521+E65*'Performance Standards'!S$522+'Performance Standards'!S$523,2))))))))</f>
        <v/>
      </c>
      <c r="G65" s="444"/>
      <c r="H65" s="438"/>
      <c r="I65" s="423"/>
      <c r="J65" s="423"/>
      <c r="K65" s="423"/>
      <c r="L65" s="21"/>
      <c r="N65" s="19"/>
      <c r="O65" s="19"/>
    </row>
    <row r="66" spans="1:15" ht="15.75" x14ac:dyDescent="0.25">
      <c r="A66" s="443"/>
      <c r="B66" s="443"/>
      <c r="C66" s="108" t="s">
        <v>62</v>
      </c>
      <c r="D66" s="108"/>
      <c r="E66" s="304"/>
      <c r="F66" s="309" t="str">
        <f>IF(E66="","",IF(B$13="","Need Slope",IF(B$13&lt;3,ROUND(IF(OR(E66&gt;83,E66&lt;32),0, IF(E66&lt;60,E66*'Performance Standards'!S$591+'Performance Standards'!S$592,IF(E66&gt;70,E66^2*'Performance Standards'!T$590+E66*'Performance Standards'!T$591+'Performance Standards'!T$592,1))),2),IF(B$13&gt;10,ROUND(IF(E66&gt;=80,1,IF(E66&lt;67,0,E66^2*'Performance Standards'!S$657+E66*'Performance Standards'!S$658+'Performance Standards'!S$659)),2),IF(OR(E66&gt;76, E66&lt;34),0,IF(AND(E66&gt;49,E66&lt;61),1,ROUND(IF(E66&lt;50,E66*'Performance Standards'!S$625+'Performance Standards'!S$626,E66*'Performance Standards'!T$625+'Performance Standards'!T$626),2)))))))</f>
        <v/>
      </c>
      <c r="G66" s="444"/>
      <c r="H66" s="438"/>
      <c r="I66" s="423"/>
      <c r="J66" s="423"/>
      <c r="K66" s="423"/>
      <c r="L66" s="21"/>
      <c r="N66" s="19"/>
      <c r="O66" s="19"/>
    </row>
    <row r="67" spans="1:15" s="14" customFormat="1" ht="15.75" x14ac:dyDescent="0.25">
      <c r="A67" s="443"/>
      <c r="B67" s="440"/>
      <c r="C67" s="116" t="s">
        <v>363</v>
      </c>
      <c r="D67" s="116"/>
      <c r="E67" s="305"/>
      <c r="F67" s="117" t="str">
        <f>IF(E67="","",IF(E67&gt;=1.6,0,IF(E67&lt;=1,1,ROUND('Performance Standards'!$S$689*E67^3+'Performance Standards'!$S$690*E67^2+'Performance Standards'!$S$691*E67+'Performance Standards'!$S$692,2))))</f>
        <v/>
      </c>
      <c r="G67" s="442"/>
      <c r="H67" s="438"/>
      <c r="I67" s="423"/>
      <c r="J67" s="423"/>
      <c r="K67" s="423"/>
      <c r="L67" s="21"/>
      <c r="N67" s="19"/>
      <c r="O67" s="19"/>
    </row>
    <row r="68" spans="1:15" ht="15.75" x14ac:dyDescent="0.25">
      <c r="A68" s="440"/>
      <c r="B68" s="320" t="s">
        <v>64</v>
      </c>
      <c r="C68" s="116" t="s">
        <v>63</v>
      </c>
      <c r="D68" s="116"/>
      <c r="E68" s="305"/>
      <c r="F68" s="118" t="str">
        <f>IF(E68="","",IF(AND(B$7="E",$B$10="Sand",$B$18="Unconfined Alluvial"),ROUND(IF(OR(E68&gt;1.8,E68&lt;1.3),0,IF(E68&lt;=1.6,1,E68*'Performance Standards'!$S$723+'Performance Standards'!$S$724)),2),    IF($B$18="Unconfined Alluvial",ROUND(IF(OR(E68&lt;1.2, E68&gt;1.5),0,IF(E68&lt;=1.4,1,E68*'Performance Standards'!$S$756+'Performance Standards'!$S$757)),2), IF($B$18="Confined Alluvial",ROUND(IF(E68&lt;1.15,0,IF(E68&lt;=1.4,E68*'Performance Standards'!$S$785+'Performance Standards'!$S$786,1)),2),  IF($B$18="Colluvial",ROUND(IF(E68&gt;1.3,0,IF(E68&gt;1.2,E68*'Performance Standards'!$S$815+'Performance Standards'!$S$816,1)),2) )))))</f>
        <v/>
      </c>
      <c r="G68" s="158" t="str">
        <f>IFERROR(AVERAGE(F68),"")</f>
        <v/>
      </c>
      <c r="H68" s="438"/>
      <c r="I68" s="423"/>
      <c r="J68" s="423"/>
      <c r="K68" s="423"/>
      <c r="L68" s="21"/>
      <c r="N68" s="19"/>
      <c r="O68" s="19"/>
    </row>
    <row r="69" spans="1:15" ht="15.75" x14ac:dyDescent="0.25">
      <c r="A69" s="431" t="s">
        <v>68</v>
      </c>
      <c r="B69" s="119" t="s">
        <v>161</v>
      </c>
      <c r="C69" s="120" t="s">
        <v>438</v>
      </c>
      <c r="D69" s="120"/>
      <c r="E69" s="87"/>
      <c r="F69" s="124" t="str">
        <f>IF(E69="","",IF($B$16="Coldwater",IF(E69&gt;77,0,IF(E69&lt;59,1,ROUND(E69*'Performance Standards'!$AB$15+'Performance Standards'!$AB$16,2))),IF($B$16="Coolwater",IF(E69&gt;97,0,IF(E69&lt;67,1,ROUND(E69*'Performance Standards'!$AC$15+'Performance Standards'!$AC$16,2))))))</f>
        <v/>
      </c>
      <c r="G69" s="159" t="str">
        <f>IFERROR(AVERAGE(F69),"")</f>
        <v/>
      </c>
      <c r="H69" s="426" t="str">
        <f>IFERROR(ROUND(AVERAGE(G69:G74),2),"")</f>
        <v/>
      </c>
      <c r="I69" s="425" t="str">
        <f>IF(H69="","",IF(H69&gt;0.69,"Functioning",IF(H69&gt;0.29,"Functioning At Risk",IF(H69&gt;-1,"Not Functioning"))))</f>
        <v/>
      </c>
      <c r="J69" s="423"/>
      <c r="K69" s="423"/>
      <c r="L69" s="21"/>
      <c r="N69" s="19"/>
      <c r="O69" s="19"/>
    </row>
    <row r="70" spans="1:15" ht="15.75" x14ac:dyDescent="0.25">
      <c r="A70" s="430"/>
      <c r="B70" s="122" t="s">
        <v>194</v>
      </c>
      <c r="C70" s="123" t="s">
        <v>197</v>
      </c>
      <c r="D70" s="123"/>
      <c r="E70" s="304"/>
      <c r="F70" s="121" t="str">
        <f>IF(E70="","",ROUND(IF(E70&gt;=284,0,E70*'Performance Standards'!AB$116+'Performance Standards'!AB$117),2))</f>
        <v/>
      </c>
      <c r="G70" s="159" t="str">
        <f>IFERROR(AVERAGE(F70),"")</f>
        <v/>
      </c>
      <c r="H70" s="426"/>
      <c r="I70" s="425"/>
      <c r="J70" s="423"/>
      <c r="K70" s="423"/>
      <c r="L70" s="21"/>
      <c r="O70" s="19"/>
    </row>
    <row r="71" spans="1:15" s="14" customFormat="1" ht="15.75" x14ac:dyDescent="0.25">
      <c r="A71" s="430"/>
      <c r="B71" s="430" t="s">
        <v>195</v>
      </c>
      <c r="C71" s="120" t="s">
        <v>92</v>
      </c>
      <c r="D71" s="120"/>
      <c r="E71" s="253"/>
      <c r="F71" s="134" t="str">
        <f>IF(E71="","",IF(OR(E71&lt;0.5,E71&gt;2), 0, ROUND(IF(E71&lt;0.75, E71*'Performance Standards'!$AB$153+'Performance Standards'!$AB$154, IF(E71&lt;=1.33, E71*'Performance Standards'!$AC$153+'Performance Standards'!$AC$154,E71*'Performance Standards'!$AD$153+'Performance Standards'!$AD$154)),2)))</f>
        <v/>
      </c>
      <c r="G71" s="456" t="str">
        <f>IFERROR(AVERAGE(F71:F72),"")</f>
        <v/>
      </c>
      <c r="H71" s="426"/>
      <c r="I71" s="425"/>
      <c r="J71" s="423"/>
      <c r="K71" s="423"/>
      <c r="L71" s="21"/>
      <c r="N71"/>
      <c r="O71" s="19"/>
    </row>
    <row r="72" spans="1:15" s="14" customFormat="1" ht="15.75" x14ac:dyDescent="0.25">
      <c r="A72" s="430"/>
      <c r="B72" s="430"/>
      <c r="C72" s="120" t="s">
        <v>193</v>
      </c>
      <c r="D72" s="120"/>
      <c r="E72" s="305"/>
      <c r="F72" s="121" t="str">
        <f>IF(E72="","",IF($B$8 = "Mountains", IF($B$9 &lt;=5, IF( $B$17= "Winter/Spring", ROUND(IF(E72&gt;=23,1,E72*'Performance Standards'!$AB$188+'Performance Standards'!$AB$189),2), IF($B$17= "Summer", ROUND(IF(E72&gt;=21,1,E72*'Performance Standards'!$AC$188),2), IF($B$17= "Fall", ROUND(IF(E72&gt;=18,1,E72*'Performance Standards'!$AD$188),2)))), IF($B$9&lt;10, IF($B$17= "Winter/Spring", ROUND(IF(E72&gt;16,1,E72*'Performance Standards'!$AB$222),2),IF($B$17= "Summer",ROUND(IF(E72&gt;14,1,E72*'Performance Standards'!$AC$222),2), IF($B$17= "Fall",ROUND(IF(E72&gt;12,1,E72*'Performance Standards'!$AD$222),2)))), IF($B$17= "Winter/Spring", ROUND(IF(E72&gt;14,1,E72*'Performance Standards'!$AB$256),2),IF($B$17= "Summer",ROUND(IF(E72&gt;16,1,E72*'Performance Standards'!$AC$256),2), IF($B$17= "Fall",ROUND(IF(E72&gt;15,1,E72*'Performance Standards'!$AD$256),2)))))), IF($B$8 = "Piedmont",  IF($B$9 &lt;=5, IF( $B$17= "Winter/Spring", ROUND(IF(E72&gt;=18,1,E72*'Performance Standards'!$AB$290),2), IF($B$17= "Summer", ROUND(IF(E72&gt;=12,1,E72*'Performance Standards'!$AC$290),2), IF($B$17= "Fall", ROUND(IF(E72&gt;=14,1,E72*'Performance Standards'!$AD$290),2)))), IF($B$9&lt;10, IF($B$17= "Winter/Spring", ROUND(IF(E72&gt;12,1,E72*'Performance Standards'!$AB$326),2),IF($B$17= "Summer",ROUND(IF(E72&gt;5,1,E72*'Performance Standards'!$AC$326),2), IF($B$17= "Fall",ROUND(IF(E72&gt;8,1,E72*'Performance Standards'!$AD$326),2)))), IF($B$17= "Winter/Spring", ROUND(IF(E72&gt;8,1,E72*'Performance Standards'!$AB$360),2),IF($B$17= "Summer",ROUND(IF(E72&gt;7,1,E72*'Performance Standards'!$AC$360),2), IF($B$17= "Fall",ROUND(IF(E72&gt;8,1,E72*'Performance Standards'!$AD$360),2)))))),IF($B$8 = "Coastal Plain", IF($B$9 &lt;=5, IF( $B$17= "Winter/Spring", ROUND(IF(E72&gt;=33,1,E72*'Performance Standards'!$AB$392),2), IF($B$17= "Summer", ROUND(IF(E72&gt;=14,1,E72*'Performance Standards'!$AC$392),2), IF($B$17= "Fall", ROUND(IF(E72&gt;=25,1,E72*'Performance Standards'!$AD$392),2)))), IF($B$9&lt;10, IF($B$17= "Winter/Spring", ROUND(IF(E72&gt;20,1,E72*'Performance Standards'!$AB$424),2),IF($B$17= "Summer",ROUND(IF(E72&gt;13,1,E72*'Performance Standards'!$AC$424),2), IF($B$17= "Fall",ROUND(IF(E72&gt;12,1,E72*'Performance Standards'!$AD$424),2)))), IF($B$17= "Winter/Spring", ROUND(IF(E72&gt;17,1,E72*'Performance Standards'!$AB$458),2),IF($B$17= "Summer",ROUND(IF(E72&gt;16,1,E72*'Performance Standards'!$AC$458),2), IF($B$17= "Fall",ROUND(IF(E72&gt;8,1,E72*'Performance Standards'!$AD$458),2))))))))))</f>
        <v/>
      </c>
      <c r="G72" s="483"/>
      <c r="H72" s="426"/>
      <c r="I72" s="425"/>
      <c r="J72" s="423"/>
      <c r="K72" s="423"/>
      <c r="L72" s="21"/>
      <c r="N72"/>
      <c r="O72" s="19"/>
    </row>
    <row r="73" spans="1:15" ht="15.75" x14ac:dyDescent="0.25">
      <c r="A73" s="430"/>
      <c r="B73" s="122" t="s">
        <v>162</v>
      </c>
      <c r="C73" s="377" t="s">
        <v>446</v>
      </c>
      <c r="D73" s="378"/>
      <c r="E73" s="304"/>
      <c r="F73" s="125" t="str">
        <f>IF(E73="","",IF(E73&gt;4,0,ROUND(E73^2*'Performance Standards'!$AB$488+E73*'Performance Standards'!$AB$489+'Performance Standards'!$AB$490,2)))</f>
        <v/>
      </c>
      <c r="G73" s="160" t="str">
        <f>IFERROR(AVERAGE(F73),"")</f>
        <v/>
      </c>
      <c r="H73" s="426"/>
      <c r="I73" s="425"/>
      <c r="J73" s="423"/>
      <c r="K73" s="423"/>
      <c r="L73" s="21"/>
      <c r="N73" s="14"/>
      <c r="O73" s="19"/>
    </row>
    <row r="74" spans="1:15" ht="15.75" x14ac:dyDescent="0.25">
      <c r="A74" s="432"/>
      <c r="B74" s="126" t="s">
        <v>163</v>
      </c>
      <c r="C74" s="377" t="s">
        <v>447</v>
      </c>
      <c r="D74" s="378"/>
      <c r="E74" s="253"/>
      <c r="F74" s="121" t="str">
        <f>IF(E74="","",IF(E74&gt;0.23,0,ROUND(E74^2*'Performance Standards'!$AB$521+E74*'Performance Standards'!$AB$522+'Performance Standards'!$AB$523,2)))</f>
        <v/>
      </c>
      <c r="G74" s="161" t="str">
        <f>IFERROR(AVERAGE(F74),"")</f>
        <v/>
      </c>
      <c r="H74" s="426"/>
      <c r="I74" s="425"/>
      <c r="J74" s="423"/>
      <c r="K74" s="423"/>
      <c r="L74" s="21"/>
      <c r="N74" s="14"/>
      <c r="O74" s="19"/>
    </row>
    <row r="75" spans="1:15" ht="15.75" x14ac:dyDescent="0.25">
      <c r="A75" s="427" t="s">
        <v>70</v>
      </c>
      <c r="B75" s="451" t="s">
        <v>93</v>
      </c>
      <c r="C75" s="226" t="s">
        <v>253</v>
      </c>
      <c r="D75" s="227"/>
      <c r="E75" s="253"/>
      <c r="F75" s="228" t="str">
        <f>IF(E75="","",IF(B$8="Mountains",IF(E75&gt;6.52,0,IF(E75&lt;3.3,1,ROUND(IF(E75&gt;5.62,E75*'Performance Standards'!AL$15+'Performance Standards'!AL$16, E75^2*'Performance Standards'!AK$15+E75*'Performance Standards'!AK$16+'Performance Standards'!AK$17),2))),IF(B$8="Piedmont",IF(E75&gt;6.91,0, IF(E75&lt;4.31,1, ROUND(IF(E75&gt;5.85, E75*'Performance Standards'!$AL$49+'Performance Standards'!$AL$50, E75^2*'Performance Standards'!AK$49+E75*'Performance Standards'!AK$50+'Performance Standards'!AK$51),2))))))</f>
        <v/>
      </c>
      <c r="G75" s="484" t="str">
        <f>IFERROR(AVERAGE(F75:F76),"")</f>
        <v/>
      </c>
      <c r="H75" s="424" t="str">
        <f>IFERROR(ROUND(AVERAGE(G75:G77),2),"")</f>
        <v/>
      </c>
      <c r="I75" s="425" t="str">
        <f>IF(H75="","",IF(H75&gt;0.69,"Functioning",IF(H75&gt;0.29,"Functioning At Risk",IF(H75&gt;-1,"Not Functioning"))))</f>
        <v/>
      </c>
      <c r="J75" s="423"/>
      <c r="K75" s="423"/>
      <c r="L75" s="21"/>
      <c r="N75" s="14"/>
      <c r="O75" s="19"/>
    </row>
    <row r="76" spans="1:15" s="14" customFormat="1" ht="15.75" x14ac:dyDescent="0.25">
      <c r="A76" s="428"/>
      <c r="B76" s="452"/>
      <c r="C76" s="229" t="s">
        <v>264</v>
      </c>
      <c r="D76" s="128"/>
      <c r="E76" s="305"/>
      <c r="F76" s="230" t="str">
        <f>IF(E76="","",ROUND(IF(B$8="Mountains", IF(E76&lt;11,0,IF(E76&gt;35,1,E76^3*'Performance Standards'!AK$83+E76^2*'Performance Standards'!AK$84+E76*'Performance Standards'!AK$85+'Performance Standards'!AK$86)),IF(B$8 = "Piedmont", IF(E76&lt;7,0,IF(E76&gt;27,1,E76^3*'Performance Standards'!AK$116+E76^2*'Performance Standards'!AK$117+E76*'Performance Standards'!AK$118+'Performance Standards'!AK$119)), IF(B$8="Coastal Plain",IF(E76&lt;6,0,IF(E76&gt;23,1,E76^3*'Performance Standards'!AK$151+E76^2*'Performance Standards'!AK$152+E76*'Performance Standards'!AK$153+'Performance Standards'!AK$154))))),2))</f>
        <v/>
      </c>
      <c r="G76" s="485"/>
      <c r="H76" s="424"/>
      <c r="I76" s="425"/>
      <c r="J76" s="423"/>
      <c r="K76" s="423"/>
      <c r="L76" s="21"/>
      <c r="O76" s="19"/>
    </row>
    <row r="77" spans="1:15" ht="15.75" x14ac:dyDescent="0.25">
      <c r="A77" s="429"/>
      <c r="B77" s="129" t="s">
        <v>146</v>
      </c>
      <c r="C77" s="128" t="s">
        <v>147</v>
      </c>
      <c r="D77" s="128"/>
      <c r="E77" s="305"/>
      <c r="F77" s="130" t="str">
        <f>IF(E77="","",IF(OR($B$15="French Broad",$B$15="Hiwassee",$B$15="Little Tennessee",$B$15="New",$B$15="Watauga"),IF(E77&lt;22,0,IF(E77&gt;=60,1,ROUND(E77*'Performance Standards'!$AK$185+'Performance Standards'!$AK$186,2))),IF(OR($B$15="Broad",$B$15="Catawba",$B$15="Savannah",$B$15="Yadkin-PeeDee"),IF(E77&lt;27,0,IF(E77&gt;=60,1,ROUND(E77^2*'Performance Standards'!$AK$219+E77*'Performance Standards'!$AK$220+'Performance Standards'!$AK$221,2))),IF(OR($B$15="Cape Fear",$B$15="Neuse",$B$15="Roanoke",$B$15="Tar-Pamlico"),IF(E77&lt;26,0,IF(E77&gt;=60,1,ROUND(E77^2*'Performance Standards'!$AK$253+E77*'Performance Standards'!$AK$254+'Performance Standards'!$AK$255,2)))))))</f>
        <v/>
      </c>
      <c r="G77" s="156" t="str">
        <f>IFERROR(AVERAGE(F77),"")</f>
        <v/>
      </c>
      <c r="H77" s="424"/>
      <c r="I77" s="425"/>
      <c r="J77" s="423"/>
      <c r="K77" s="423"/>
      <c r="L77" s="21"/>
      <c r="N77" s="14"/>
    </row>
    <row r="78" spans="1:15" x14ac:dyDescent="0.25">
      <c r="J78" s="13"/>
      <c r="K78" s="13"/>
      <c r="L78" s="21"/>
    </row>
    <row r="79" spans="1:15" s="14" customFormat="1" x14ac:dyDescent="0.25">
      <c r="J79" s="13"/>
      <c r="K79" s="13"/>
      <c r="L79" s="21"/>
    </row>
    <row r="80" spans="1:15" ht="21" x14ac:dyDescent="0.35">
      <c r="A80" s="433" t="s">
        <v>66</v>
      </c>
      <c r="B80" s="434"/>
      <c r="C80" s="434"/>
      <c r="D80" s="434"/>
      <c r="E80" s="434"/>
      <c r="F80" s="435"/>
      <c r="G80" s="433" t="s">
        <v>18</v>
      </c>
      <c r="H80" s="434"/>
      <c r="I80" s="434"/>
      <c r="J80" s="434"/>
      <c r="K80" s="435"/>
      <c r="L80" s="21"/>
    </row>
    <row r="81" spans="1:14" ht="15.75" x14ac:dyDescent="0.25">
      <c r="A81" s="94" t="s">
        <v>1</v>
      </c>
      <c r="B81" s="94" t="s">
        <v>2</v>
      </c>
      <c r="C81" s="462" t="s">
        <v>3</v>
      </c>
      <c r="D81" s="463"/>
      <c r="E81" s="300" t="s">
        <v>15</v>
      </c>
      <c r="F81" s="297" t="s">
        <v>16</v>
      </c>
      <c r="G81" s="94" t="s">
        <v>19</v>
      </c>
      <c r="H81" s="94" t="s">
        <v>20</v>
      </c>
      <c r="I81" s="94" t="s">
        <v>20</v>
      </c>
      <c r="J81" s="94" t="s">
        <v>21</v>
      </c>
      <c r="K81" s="95" t="s">
        <v>21</v>
      </c>
    </row>
    <row r="82" spans="1:14" ht="15.75" x14ac:dyDescent="0.25">
      <c r="A82" s="447" t="s">
        <v>78</v>
      </c>
      <c r="B82" s="96" t="s">
        <v>177</v>
      </c>
      <c r="C82" s="257" t="s">
        <v>329</v>
      </c>
      <c r="D82" s="97"/>
      <c r="E82" s="304"/>
      <c r="F82" s="260" t="str">
        <f>IF(E82="","",IF(E82&gt;78,0,IF(E82&lt;30,1,ROUND('Performance Standards'!C$14*E82^2+'Performance Standards'!C$15*E82+'Performance Standards'!C$16,2))))</f>
        <v/>
      </c>
      <c r="G82" s="157" t="str">
        <f>IFERROR(AVERAGE(F82),"")</f>
        <v/>
      </c>
      <c r="H82" s="492" t="str">
        <f>IFERROR(ROUND(AVERAGE(G82:G85),2),"")</f>
        <v/>
      </c>
      <c r="I82" s="425" t="str">
        <f>IF(H82="","",IF(H82&gt;0.69,"Functioning",IF(H82&gt;0.29,"Functioning At Risk",IF(H82&gt;-1,"Not Functioning"))))</f>
        <v/>
      </c>
      <c r="J82" s="423" t="str">
        <f>IF(AND(H82="",H86="",H88="",H107="",H113=""),"",ROUND((IF(H82="",0,H82)*0.2)+(IF(H86="",0,H86)*0.2)+(IF(H88="",0,H88)*0.2)+(IF(H107="",0,H107)*0.2)+(IF(H113="",0,H113)*0.2),2))</f>
        <v/>
      </c>
      <c r="K82" s="423" t="str">
        <f>IF(J82="","",IF(J82&lt;0.3, "Not Functioning",IF(OR(H82&lt;0.7,H86&lt;0.7,H88&lt;0.7,H107&lt;0.7,H113&lt;0.7),"Functioning At Risk",IF(J82&lt;0.7,"Functioning At Risk","Functioning"))))</f>
        <v/>
      </c>
      <c r="N82" s="14"/>
    </row>
    <row r="83" spans="1:14" s="14" customFormat="1" ht="15.75" x14ac:dyDescent="0.25">
      <c r="A83" s="448"/>
      <c r="B83" s="489" t="s">
        <v>328</v>
      </c>
      <c r="C83" s="257" t="s">
        <v>329</v>
      </c>
      <c r="D83" s="256"/>
      <c r="E83" s="253"/>
      <c r="F83" s="260" t="str">
        <f>IF(E83="","",IF(E83&gt;78,0,IF(E83&lt;30,1,ROUND('Performance Standards'!C$14*E83^2+'Performance Standards'!C$15*E83+'Performance Standards'!C$16,2))))</f>
        <v/>
      </c>
      <c r="G83" s="486" t="str">
        <f>IFERROR(AVERAGE(F83:F85),"")</f>
        <v/>
      </c>
      <c r="H83" s="493"/>
      <c r="I83" s="425"/>
      <c r="J83" s="423"/>
      <c r="K83" s="423"/>
    </row>
    <row r="84" spans="1:14" s="14" customFormat="1" ht="15.75" x14ac:dyDescent="0.25">
      <c r="A84" s="448"/>
      <c r="B84" s="490"/>
      <c r="C84" s="258" t="s">
        <v>330</v>
      </c>
      <c r="D84" s="97"/>
      <c r="E84" s="304"/>
      <c r="F84" s="98" t="str">
        <f>IF(E84="","",IF(E84&gt;3,0,IF(E84=0,1,ROUND('Performance Standards'!C$48*E84+'Performance Standards'!C$49,2))))</f>
        <v/>
      </c>
      <c r="G84" s="487"/>
      <c r="H84" s="493"/>
      <c r="I84" s="425"/>
      <c r="J84" s="423"/>
      <c r="K84" s="423"/>
    </row>
    <row r="85" spans="1:14" s="14" customFormat="1" ht="15.75" x14ac:dyDescent="0.25">
      <c r="A85" s="448"/>
      <c r="B85" s="491"/>
      <c r="C85" s="259" t="s">
        <v>331</v>
      </c>
      <c r="D85" s="101"/>
      <c r="E85" s="305"/>
      <c r="F85" s="255" t="str">
        <f>IF(E85="","",IF(E85&gt;=30,1,ROUND('Performance Standards'!$C$83*E85^2+'Performance Standards'!$C$84*E85+'Performance Standards'!$C$85,2)))</f>
        <v/>
      </c>
      <c r="G85" s="488"/>
      <c r="H85" s="493"/>
      <c r="I85" s="425"/>
      <c r="J85" s="423"/>
      <c r="K85" s="423"/>
    </row>
    <row r="86" spans="1:14" s="14" customFormat="1" ht="15.75" x14ac:dyDescent="0.25">
      <c r="A86" s="445" t="s">
        <v>6</v>
      </c>
      <c r="B86" s="445" t="s">
        <v>7</v>
      </c>
      <c r="C86" s="102" t="s">
        <v>8</v>
      </c>
      <c r="D86" s="102"/>
      <c r="E86" s="304"/>
      <c r="F86" s="103" t="str">
        <f>IF(E86="","",ROUND(IF(E86&gt;1.6,0,IF(E86&lt;=1,1,E86^2*'Performance Standards'!K$14+E86*'Performance Standards'!K$15+'Performance Standards'!K$16)),2))</f>
        <v/>
      </c>
      <c r="G86" s="449" t="str">
        <f>IFERROR(AVERAGE(F86:F87),"")</f>
        <v/>
      </c>
      <c r="H86" s="449" t="str">
        <f>IFERROR(ROUND(AVERAGE(G86),2),"")</f>
        <v/>
      </c>
      <c r="I86" s="436" t="str">
        <f>IF(H86="","",IF(H86&gt;0.69,"Functioning",IF(H86&gt;0.29,"Functioning At Risk",IF(H86&gt;-1,"Not Functioning"))))</f>
        <v/>
      </c>
      <c r="J86" s="423"/>
      <c r="K86" s="423"/>
    </row>
    <row r="87" spans="1:14" s="14" customFormat="1" ht="15.75" x14ac:dyDescent="0.25">
      <c r="A87" s="446"/>
      <c r="B87" s="446"/>
      <c r="C87" s="104" t="s">
        <v>9</v>
      </c>
      <c r="D87" s="104"/>
      <c r="E87" s="305"/>
      <c r="F87" s="105" t="str">
        <f>IF(E87="","",IF(OR(B$7="A",B$7="B", B$7="Bc"),IF(E87&lt;1.2,0,IF(E87&gt;=2.2,1,ROUND(IF(E87&lt;1.4,E87*'Performance Standards'!$K$84+'Performance Standards'!$K$85,E87*'Performance Standards'!$L$84+'Performance Standards'!$L$85),2))),IF(OR(B$7="C",B$7="E"),IF(E87&lt;2,0,IF(E87&gt;=5,1,ROUND(IF(E87&lt;2.4,E87*'Performance Standards'!$L$49+'Performance Standards'!$L$50,E87*'Performance Standards'!$K$49+'Performance Standards'!$K$50),2))))))</f>
        <v/>
      </c>
      <c r="G87" s="450"/>
      <c r="H87" s="450"/>
      <c r="I87" s="437"/>
      <c r="J87" s="423"/>
      <c r="K87" s="423"/>
    </row>
    <row r="88" spans="1:14" s="14" customFormat="1" ht="15.75" x14ac:dyDescent="0.25">
      <c r="A88" s="439" t="s">
        <v>30</v>
      </c>
      <c r="B88" s="439" t="s">
        <v>31</v>
      </c>
      <c r="C88" s="111" t="s">
        <v>27</v>
      </c>
      <c r="D88" s="318"/>
      <c r="E88" s="253"/>
      <c r="F88" s="132" t="str">
        <f>IF(E88="","",IF(E88&gt;700,1,IF(E88&lt;300,ROUND('Performance Standards'!$S$14*(E88^2)+'Performance Standards'!$S$15*E88+'Performance Standards'!$S$16,2),ROUND('Performance Standards'!$T$15*E88+'Performance Standards'!$T$16,2))))</f>
        <v/>
      </c>
      <c r="G88" s="441" t="str">
        <f>IFERROR(AVERAGE(F88:F89),"")</f>
        <v/>
      </c>
      <c r="H88" s="438" t="str">
        <f>IFERROR(ROUND(AVERAGE(G88:G106),2),"")</f>
        <v/>
      </c>
      <c r="I88" s="423" t="str">
        <f>IF(H88="","",IF(H88&gt;0.69,"Functioning",IF(H88&gt;0.29,"Functioning At Risk",IF(H88&gt;-1,"Not Functioning"))))</f>
        <v/>
      </c>
      <c r="J88" s="423"/>
      <c r="K88" s="423"/>
    </row>
    <row r="89" spans="1:14" s="14" customFormat="1" ht="15.75" x14ac:dyDescent="0.25">
      <c r="A89" s="443"/>
      <c r="B89" s="440"/>
      <c r="C89" s="113" t="s">
        <v>369</v>
      </c>
      <c r="D89" s="317"/>
      <c r="E89" s="305"/>
      <c r="F89" s="319" t="str">
        <f>IF(E89="","",IF(E89&gt;30,1,IF(E89&lt;16,ROUND('Performance Standards'!$S$48*(E89^2)+'Performance Standards'!$S$49*E89+'Performance Standards'!$S$50,2),ROUND('Performance Standards'!$T$49*E89+'Performance Standards'!$T$50,2))))</f>
        <v/>
      </c>
      <c r="G89" s="442"/>
      <c r="H89" s="438"/>
      <c r="I89" s="423"/>
      <c r="J89" s="423"/>
      <c r="K89" s="423"/>
    </row>
    <row r="90" spans="1:14" ht="15.75" x14ac:dyDescent="0.25">
      <c r="A90" s="443"/>
      <c r="B90" s="443" t="s">
        <v>54</v>
      </c>
      <c r="C90" s="111" t="s">
        <v>156</v>
      </c>
      <c r="D90" s="114"/>
      <c r="E90" s="253"/>
      <c r="F90" s="109" t="str">
        <f>IF(E90="","",ROUND(IF(E90&gt;0.7,0,IF(E90&lt;=0.1,1,E90^3*'Performance Standards'!S$83+E90^2*'Performance Standards'!S$84+E90*'Performance Standards'!S$85+'Performance Standards'!S$86)),2))</f>
        <v/>
      </c>
      <c r="G90" s="444" t="str">
        <f>IFERROR(IF(E90="",AVERAGE(F91:F92),IF(E91="",F90,MIN(F90,AVERAGE(F91:F92)))),"")</f>
        <v/>
      </c>
      <c r="H90" s="438"/>
      <c r="I90" s="423"/>
      <c r="J90" s="423"/>
      <c r="K90" s="423"/>
      <c r="N90" s="14"/>
    </row>
    <row r="91" spans="1:14" ht="15.75" x14ac:dyDescent="0.25">
      <c r="A91" s="443"/>
      <c r="B91" s="443"/>
      <c r="C91" s="112" t="s">
        <v>55</v>
      </c>
      <c r="D91" s="108"/>
      <c r="E91" s="304"/>
      <c r="F91" s="109" t="str">
        <f>IF(E91="","",IF(OR(E91="Ex/Ex",E91="Ex/VH"),0, IF(OR(E91="Ex/H",E91="VH/Ex",E91="VH/VH", E91="H/Ex",E91="H/VH",E91="M/Ex"),0.1,IF(OR(E91="Ex/M",E91="VH/H",E91="H/H", E91="M/VH"),0.2, IF(OR(E91="Ex/L",E91="VH/M",E91="H/M", E91="M/H",E91="L/Ex"),0.3, IF(OR(E91="Ex/VL",E91="VH/L",E91="H/L"),0.4, IF(OR(E91="VH/VL",E91="H/VL",E91="M/M", E91="L/VH"),0.5, IF(OR(E91="M/L",E91="L/H"),0.6, IF(OR(E91="M/VL",E91="L/M"),0.7, IF(OR(E91="L/L",E91="L/VL"),1))))))))))</f>
        <v/>
      </c>
      <c r="G91" s="444"/>
      <c r="H91" s="438"/>
      <c r="I91" s="423"/>
      <c r="J91" s="423"/>
      <c r="K91" s="423"/>
      <c r="N91" s="14"/>
    </row>
    <row r="92" spans="1:14" ht="15.75" x14ac:dyDescent="0.25">
      <c r="A92" s="443"/>
      <c r="B92" s="443"/>
      <c r="C92" s="113" t="s">
        <v>192</v>
      </c>
      <c r="D92" s="116"/>
      <c r="E92" s="305"/>
      <c r="F92" s="118" t="str">
        <f>IF(E92="","",ROUND(IF(E92&gt;40,0,IF(E92&lt;5,1,E92^3*'Performance Standards'!S$118+E92^2*'Performance Standards'!S$119+E92*'Performance Standards'!S$120+'Performance Standards'!S$121)),2))</f>
        <v/>
      </c>
      <c r="G92" s="444"/>
      <c r="H92" s="438"/>
      <c r="I92" s="423"/>
      <c r="J92" s="423"/>
      <c r="K92" s="423"/>
    </row>
    <row r="93" spans="1:14" s="14" customFormat="1" ht="15.75" x14ac:dyDescent="0.25">
      <c r="A93" s="443"/>
      <c r="B93" s="439" t="s">
        <v>56</v>
      </c>
      <c r="C93" s="111" t="s">
        <v>242</v>
      </c>
      <c r="D93" s="114"/>
      <c r="E93" s="253"/>
      <c r="F93" s="132" t="str">
        <f>IF(E93="","",ROUND(IF(E93&gt;90,1,E93^2*'Performance Standards'!S$153+E93*'Performance Standards'!S$154+'Performance Standards'!S$155),2))</f>
        <v/>
      </c>
      <c r="G93" s="441" t="str">
        <f>IFERROR(AVERAGE(F93:F100),"")</f>
        <v/>
      </c>
      <c r="H93" s="438"/>
      <c r="I93" s="423"/>
      <c r="J93" s="423"/>
      <c r="K93" s="423"/>
      <c r="N93"/>
    </row>
    <row r="94" spans="1:14" s="14" customFormat="1" ht="15.75" x14ac:dyDescent="0.25">
      <c r="A94" s="443"/>
      <c r="B94" s="443"/>
      <c r="C94" s="112" t="s">
        <v>243</v>
      </c>
      <c r="D94" s="108"/>
      <c r="E94" s="304"/>
      <c r="F94" s="109" t="str">
        <f>IF(E94="","",ROUND(IF(E94&gt;90,1,E94^2*'Performance Standards'!S$153+E94*'Performance Standards'!S$154+'Performance Standards'!S$155),2))</f>
        <v/>
      </c>
      <c r="G94" s="444"/>
      <c r="H94" s="438"/>
      <c r="I94" s="423"/>
      <c r="J94" s="423"/>
      <c r="K94" s="423"/>
    </row>
    <row r="95" spans="1:14" s="14" customFormat="1" ht="15.75" x14ac:dyDescent="0.25">
      <c r="A95" s="443"/>
      <c r="B95" s="443"/>
      <c r="C95" s="112" t="s">
        <v>170</v>
      </c>
      <c r="D95" s="108"/>
      <c r="E95" s="304"/>
      <c r="F95" s="109" t="str">
        <f>IF(E95="","",ROUND(IF(OR(B$7="A",B$7="B",B$7="Bc"),IF(E95&gt;=50,1, IF(E95&lt;30, E95*'Performance Standards'!S$188+'Performance Standards'!S$189, E95*'Performance Standards'!T$188+'Performance Standards'!T$189)), IF(E95&gt;=150,1,IF(E95&lt;48, E95^2*'Performance Standards'!S$222+E95*'Performance Standards'!S$223+'Performance Standards'!S$224, E95*'Performance Standards'!T$223+'Performance Standards'!T$224))),2))</f>
        <v/>
      </c>
      <c r="G95" s="444"/>
      <c r="H95" s="438"/>
      <c r="I95" s="423"/>
      <c r="J95" s="423"/>
      <c r="K95" s="423"/>
    </row>
    <row r="96" spans="1:14" s="14" customFormat="1" ht="15.75" x14ac:dyDescent="0.25">
      <c r="A96" s="443"/>
      <c r="B96" s="443"/>
      <c r="C96" s="112" t="s">
        <v>171</v>
      </c>
      <c r="D96" s="108"/>
      <c r="E96" s="304"/>
      <c r="F96" s="109" t="str">
        <f>IF(E96="","",ROUND(IF(OR(B$7="A",B$7="B",B$7="Bc"),IF(E96&gt;=50,1, IF(E96&lt;30, E96*'Performance Standards'!S$188+'Performance Standards'!S$189, E96*'Performance Standards'!T$188+'Performance Standards'!T$189)), IF(E96&gt;=150,1,IF(E96&lt;48, E96^2*'Performance Standards'!S$222+E96*'Performance Standards'!S$223+'Performance Standards'!S$224, E96*'Performance Standards'!T$223+'Performance Standards'!T$224))),2))</f>
        <v/>
      </c>
      <c r="G96" s="444"/>
      <c r="H96" s="438"/>
      <c r="I96" s="423"/>
      <c r="J96" s="423"/>
      <c r="K96" s="423"/>
      <c r="N96"/>
    </row>
    <row r="97" spans="1:14" s="14" customFormat="1" ht="15.75" x14ac:dyDescent="0.25">
      <c r="A97" s="443"/>
      <c r="B97" s="443"/>
      <c r="C97" s="108" t="s">
        <v>251</v>
      </c>
      <c r="D97" s="108"/>
      <c r="E97" s="304"/>
      <c r="F97" s="109" t="str">
        <f>IF(E97="","",ROUND(IF(E97&gt;100,1,E97^2*'Performance Standards'!S$255+E97*'Performance Standards'!S$256+'Performance Standards'!S$257),2))</f>
        <v/>
      </c>
      <c r="G97" s="444"/>
      <c r="H97" s="438"/>
      <c r="I97" s="423"/>
      <c r="J97" s="423"/>
      <c r="K97" s="423"/>
    </row>
    <row r="98" spans="1:14" s="14" customFormat="1" ht="15.75" x14ac:dyDescent="0.25">
      <c r="A98" s="443"/>
      <c r="B98" s="443"/>
      <c r="C98" s="108" t="s">
        <v>252</v>
      </c>
      <c r="D98" s="108"/>
      <c r="E98" s="304"/>
      <c r="F98" s="109" t="str">
        <f>IF(E98="","",ROUND(IF(E98&gt;100,1,E98^2*'Performance Standards'!S$255+E98*'Performance Standards'!S$256+'Performance Standards'!S$257),2))</f>
        <v/>
      </c>
      <c r="G98" s="444"/>
      <c r="H98" s="438"/>
      <c r="I98" s="423"/>
      <c r="J98" s="423"/>
      <c r="K98" s="423"/>
    </row>
    <row r="99" spans="1:14" s="14" customFormat="1" ht="15.75" x14ac:dyDescent="0.25">
      <c r="A99" s="443"/>
      <c r="B99" s="443"/>
      <c r="C99" s="112" t="s">
        <v>342</v>
      </c>
      <c r="D99" s="108"/>
      <c r="E99" s="304"/>
      <c r="F99" s="109" t="str">
        <f>IF(E99="","",ROUND(IF(E99&gt;=260,0.5,E99*'Performance Standards'!S$288+'Performance Standards'!S$289),2))</f>
        <v/>
      </c>
      <c r="G99" s="444"/>
      <c r="H99" s="438"/>
      <c r="I99" s="423"/>
      <c r="J99" s="423"/>
      <c r="K99" s="423"/>
      <c r="M99" s="21"/>
      <c r="N99"/>
    </row>
    <row r="100" spans="1:14" s="14" customFormat="1" ht="15.75" x14ac:dyDescent="0.25">
      <c r="A100" s="443"/>
      <c r="B100" s="440"/>
      <c r="C100" s="113" t="s">
        <v>343</v>
      </c>
      <c r="D100" s="108"/>
      <c r="E100" s="304"/>
      <c r="F100" s="219" t="str">
        <f>IF(E100="","",ROUND(IF(E100&gt;=260,0.5,E100*'Performance Standards'!S$288+'Performance Standards'!S$289),2))</f>
        <v/>
      </c>
      <c r="G100" s="442"/>
      <c r="H100" s="438"/>
      <c r="I100" s="423"/>
      <c r="J100" s="423"/>
      <c r="K100" s="423"/>
      <c r="N100"/>
    </row>
    <row r="101" spans="1:14" s="14" customFormat="1" ht="15.75" x14ac:dyDescent="0.25">
      <c r="A101" s="443"/>
      <c r="B101" s="106" t="s">
        <v>254</v>
      </c>
      <c r="C101" s="131" t="s">
        <v>345</v>
      </c>
      <c r="D101" s="107"/>
      <c r="E101" s="87"/>
      <c r="F101" s="109" t="str">
        <f>IF(E101="","",IF(B$10="Gravel",IF(E101&gt;0.1,1,IF(E101&lt;=0.01,0,ROUND(E101*'Performance Standards'!$S$323+'Performance Standards'!$S$324,2)))))</f>
        <v/>
      </c>
      <c r="G101" s="155" t="str">
        <f>IFERROR(AVERAGE(F101),"")</f>
        <v/>
      </c>
      <c r="H101" s="438"/>
      <c r="I101" s="423"/>
      <c r="J101" s="423"/>
      <c r="K101" s="423"/>
    </row>
    <row r="102" spans="1:14" s="14" customFormat="1" ht="15.75" x14ac:dyDescent="0.25">
      <c r="A102" s="443"/>
      <c r="B102" s="439" t="s">
        <v>57</v>
      </c>
      <c r="C102" s="114" t="s">
        <v>58</v>
      </c>
      <c r="D102" s="114"/>
      <c r="E102" s="253"/>
      <c r="F102" s="310" t="str">
        <f>IF(E102="","",IF(B$13&gt;=4,IF(AND(E102&lt;=5,E102&gt;=0.1),1,IF(OR(E102&lt;0.1,E102&gt;8),0,ROUND(E102*'Performance Standards'!$S$357+'Performance Standards'!$S$358,2))), IF(AND(B$9&gt;=10,OR(B$7="C",B$7="E")),IF(OR(E102&lt;3,E102&gt;8),0,IF(AND(E102&gt;=4,E102&lt;=7),1,ROUND(E102^2*'Performance Standards'!$S$389+E102*'Performance Standards'!$S$390+'Performance Standards'!$S$391,2))),  IF(AND(B$9&lt;10,OR(B$7="C",B$7="E")),IF(OR(E102&lt;3,E102&gt;7),0,IF(E102&lt;4,ROUND(E102*'Performance Standards'!$S$423+'Performance Standards'!$S$424,2), IF(E102&gt;5, ROUND(E102*'Performance Standards'!$T$423+'Performance Standards'!T$424,2),1))),IF(OR(AND(B$13&lt;2,B$7="Bc"),AND(B$13&gt;=2,B$13&lt;=4,B$7="B")),ROUND(IF(E102&gt;8,0,IF(E102&lt;=0.6,1,E102^2*'Performance Standards'!$S$455+E102*'Performance Standards'!$S$456+'Performance Standards'!$S$457)),2))))))</f>
        <v/>
      </c>
      <c r="G102" s="441" t="str">
        <f>IFERROR(AVERAGE(F102:F105),"")</f>
        <v/>
      </c>
      <c r="H102" s="438"/>
      <c r="I102" s="423"/>
      <c r="J102" s="423"/>
      <c r="K102" s="423"/>
    </row>
    <row r="103" spans="1:14" s="14" customFormat="1" ht="15.75" x14ac:dyDescent="0.25">
      <c r="A103" s="443"/>
      <c r="B103" s="443"/>
      <c r="C103" s="108" t="s">
        <v>59</v>
      </c>
      <c r="D103" s="108"/>
      <c r="E103" s="304"/>
      <c r="F103" s="109" t="str">
        <f>IF(E103="","",IF(E103&lt;=1.1,0,IF(OR(B$7="A", B$7="B", B$7="Bc"),IF(E103&gt;1.74,1,ROUND(IF(E103&lt;1.2,E103*'Performance Standards'!S$556+'Performance Standards'!S$557,E103*'Performance Standards'!T$556+'Performance Standards'!T$557),2)),IF(OR(B$7="C", B$7="E"),IF(B$10="Gravel",IF(E103&gt;1.74,1,ROUND(IF(E103&lt;1.2,E103*'Performance Standards'!S$489+'Performance Standards'!S$490,E103*'Performance Standards'!T$489+'Performance Standards'!T$490),2)),IF(B$10="Sand",IF(E103&gt;=1.25,1,ROUND(E103^2*'Performance Standards'!S$521+E103*'Performance Standards'!S$522+'Performance Standards'!S$523,2))))))))</f>
        <v/>
      </c>
      <c r="G103" s="444"/>
      <c r="H103" s="438"/>
      <c r="I103" s="423"/>
      <c r="J103" s="423"/>
      <c r="K103" s="423"/>
    </row>
    <row r="104" spans="1:14" s="14" customFormat="1" ht="15.75" x14ac:dyDescent="0.25">
      <c r="A104" s="443"/>
      <c r="B104" s="443"/>
      <c r="C104" s="108" t="s">
        <v>62</v>
      </c>
      <c r="D104" s="108"/>
      <c r="E104" s="304"/>
      <c r="F104" s="312" t="str">
        <f>IF(E104="","",IF(B$13="","Need Slope",IF(B$13&lt;3,ROUND(IF(OR(E104&gt;83,E104&lt;32),0, IF(E104&lt;60,E104*'Performance Standards'!S$591+'Performance Standards'!S$592,IF(E104&gt;70,E104^2*'Performance Standards'!T$590+E104*'Performance Standards'!T$591+'Performance Standards'!T$592,1))),2),IF(B$13&gt;10,ROUND(IF(E104&gt;=80,1,IF(E104&lt;67,0,E104^2*'Performance Standards'!S$657+E104*'Performance Standards'!S$658+'Performance Standards'!S$659)),2),IF(OR(E104&gt;76, E104&lt;34),0,IF(AND(E104&gt;49,E104&lt;61),1,ROUND(IF(E104&lt;50,E104*'Performance Standards'!S$625+'Performance Standards'!S$626,E104*'Performance Standards'!T$625+'Performance Standards'!T$626),2)))))))</f>
        <v/>
      </c>
      <c r="G104" s="444"/>
      <c r="H104" s="438"/>
      <c r="I104" s="423"/>
      <c r="J104" s="423"/>
      <c r="K104" s="423"/>
    </row>
    <row r="105" spans="1:14" s="14" customFormat="1" ht="15.75" x14ac:dyDescent="0.25">
      <c r="A105" s="443"/>
      <c r="B105" s="440"/>
      <c r="C105" s="116" t="s">
        <v>363</v>
      </c>
      <c r="D105" s="116"/>
      <c r="E105" s="305"/>
      <c r="F105" s="117" t="str">
        <f>IF(E105="","",IF(E105&gt;=1.6,0,IF(E105&lt;=1,1,ROUND('Performance Standards'!$S$689*E105^3+'Performance Standards'!$S$690*E105^2+'Performance Standards'!$S$691*E105+'Performance Standards'!$S$692,2))))</f>
        <v/>
      </c>
      <c r="G105" s="442"/>
      <c r="H105" s="438"/>
      <c r="I105" s="423"/>
      <c r="J105" s="423"/>
      <c r="K105" s="423"/>
    </row>
    <row r="106" spans="1:14" ht="15.75" x14ac:dyDescent="0.25">
      <c r="A106" s="440"/>
      <c r="B106" s="320" t="s">
        <v>64</v>
      </c>
      <c r="C106" s="116" t="s">
        <v>63</v>
      </c>
      <c r="D106" s="116"/>
      <c r="E106" s="305"/>
      <c r="F106" s="118" t="str">
        <f>IF(E106="","",IF(AND(B$7="E",$B$10="Sand",$B$18="Unconfined Alluvial"),ROUND(IF(OR(E106&gt;1.8,E106&lt;1.3),0,IF(E106&lt;=1.6,1,E106*'Performance Standards'!$S$723+'Performance Standards'!$S$724)),2),    IF($B$18="Unconfined Alluvial",ROUND(IF(OR(E106&lt;1.2, E106&gt;1.5),0,IF(E106&lt;=1.4,1,E106*'Performance Standards'!$S$756+'Performance Standards'!$S$757)),2), IF($B$18="Confined Alluvial",ROUND(IF(E106&lt;1.15,0,IF(E106&lt;=1.4,E106*'Performance Standards'!$S$785+'Performance Standards'!$S$786,1)),2),  IF($B$18="Colluvial",ROUND(IF(E106&gt;1.3,0,IF(E106&gt;1.2,E106*'Performance Standards'!$S$815+'Performance Standards'!$S$816,1)),2) )))))</f>
        <v/>
      </c>
      <c r="G106" s="158" t="str">
        <f>IFERROR(AVERAGE(F106),"")</f>
        <v/>
      </c>
      <c r="H106" s="438"/>
      <c r="I106" s="423"/>
      <c r="J106" s="423"/>
      <c r="K106" s="423"/>
      <c r="L106" s="13"/>
    </row>
    <row r="107" spans="1:14" ht="15.75" x14ac:dyDescent="0.25">
      <c r="A107" s="431" t="s">
        <v>68</v>
      </c>
      <c r="B107" s="122" t="s">
        <v>161</v>
      </c>
      <c r="C107" s="133" t="s">
        <v>438</v>
      </c>
      <c r="D107" s="123"/>
      <c r="E107" s="87"/>
      <c r="F107" s="124" t="str">
        <f>IF(E107="","",IF($B$16="Coldwater",IF(E107&gt;77,0,IF(E107&lt;59,1,ROUND(E107*'Performance Standards'!$AB$15+'Performance Standards'!$AB$16,2))),IF($B$16="Coolwater",IF(E107&gt;97,0,IF(E107&lt;67,1,ROUND(E107*'Performance Standards'!$AC$15+'Performance Standards'!$AC$16,2))))))</f>
        <v/>
      </c>
      <c r="G107" s="159" t="str">
        <f>IFERROR(AVERAGE(F107),"")</f>
        <v/>
      </c>
      <c r="H107" s="426" t="str">
        <f>IFERROR(ROUND(AVERAGE(G107:G112),2),"")</f>
        <v/>
      </c>
      <c r="I107" s="425" t="str">
        <f>IF(H107="","",IF(H107&gt;0.69,"Functioning",IF(H107&gt;0.29,"Functioning At Risk",IF(H107&gt;-1,"Not Functioning"))))</f>
        <v/>
      </c>
      <c r="J107" s="423"/>
      <c r="K107" s="423"/>
      <c r="L107" s="13"/>
      <c r="N107" s="14"/>
    </row>
    <row r="108" spans="1:14" ht="15.75" x14ac:dyDescent="0.25">
      <c r="A108" s="430"/>
      <c r="B108" s="254" t="s">
        <v>194</v>
      </c>
      <c r="C108" s="127" t="s">
        <v>197</v>
      </c>
      <c r="D108" s="120"/>
      <c r="E108" s="304"/>
      <c r="F108" s="121" t="str">
        <f>IF(E108="","",ROUND(IF(E108&gt;=284,0,E108*'Performance Standards'!AB$116+'Performance Standards'!AB$117),2))</f>
        <v/>
      </c>
      <c r="G108" s="159" t="str">
        <f>IFERROR(AVERAGE(F108),"")</f>
        <v/>
      </c>
      <c r="H108" s="426"/>
      <c r="I108" s="425"/>
      <c r="J108" s="423"/>
      <c r="K108" s="423"/>
      <c r="L108" s="21"/>
    </row>
    <row r="109" spans="1:14" ht="15.75" x14ac:dyDescent="0.25">
      <c r="A109" s="430"/>
      <c r="B109" s="430" t="s">
        <v>195</v>
      </c>
      <c r="C109" s="263" t="s">
        <v>92</v>
      </c>
      <c r="D109" s="215"/>
      <c r="E109" s="253"/>
      <c r="F109" s="134" t="str">
        <f>IF(E109="","",IF(OR(E109&lt;0.5,E109&gt;2), 0, ROUND(IF(E109&lt;0.75, E109*'Performance Standards'!$AB$153+'Performance Standards'!$AB$154, IF(E109&lt;=1.33, E109*'Performance Standards'!$AC$153+'Performance Standards'!$AC$154,E109*'Performance Standards'!$AD$153+'Performance Standards'!$AD$154)),2)))</f>
        <v/>
      </c>
      <c r="G109" s="456" t="str">
        <f>IFERROR(AVERAGE(F109:F110),"")</f>
        <v/>
      </c>
      <c r="H109" s="426"/>
      <c r="I109" s="425"/>
      <c r="J109" s="423"/>
      <c r="K109" s="423"/>
      <c r="L109" s="21"/>
    </row>
    <row r="110" spans="1:14" s="14" customFormat="1" ht="15.75" x14ac:dyDescent="0.25">
      <c r="A110" s="430"/>
      <c r="B110" s="430"/>
      <c r="C110" s="135" t="s">
        <v>193</v>
      </c>
      <c r="D110" s="127"/>
      <c r="E110" s="305"/>
      <c r="F110" s="121" t="str">
        <f>IF(E110="","",IF($B$8 = "Mountains", IF($B$9 &lt;=5, IF( $B$17= "Winter/Spring", ROUND(IF(E110&gt;=23,1,E110*'Performance Standards'!$AB$188+'Performance Standards'!$AB$189),2), IF($B$17= "Summer", ROUND(IF(E110&gt;=21,1,E110*'Performance Standards'!$AC$188),2), IF($B$17= "Fall", ROUND(IF(E110&gt;=18,1,E110*'Performance Standards'!$AD$188),2)))), IF($B$9&lt;10, IF($B$17= "Winter/Spring", ROUND(IF(E110&gt;16,1,E110*'Performance Standards'!$AB$222),2),IF($B$17= "Summer",ROUND(IF(E110&gt;14,1,E110*'Performance Standards'!$AC$222),2), IF($B$17= "Fall",ROUND(IF(E110&gt;12,1,E110*'Performance Standards'!$AD$222),2)))), IF($B$17= "Winter/Spring", ROUND(IF(E110&gt;14,1,E110*'Performance Standards'!$AB$256),2),IF($B$17= "Summer",ROUND(IF(E110&gt;16,1,E110*'Performance Standards'!$AC$256),2), IF($B$17= "Fall",ROUND(IF(E110&gt;15,1,E110*'Performance Standards'!$AD$256),2)))))), IF($B$8 = "Piedmont",  IF($B$9 &lt;=5, IF( $B$17= "Winter/Spring", ROUND(IF(E110&gt;=18,1,E110*'Performance Standards'!$AB$290),2), IF($B$17= "Summer", ROUND(IF(E110&gt;=12,1,E110*'Performance Standards'!$AC$290),2), IF($B$17= "Fall", ROUND(IF(E110&gt;=14,1,E110*'Performance Standards'!$AD$290),2)))), IF($B$9&lt;10, IF($B$17= "Winter/Spring", ROUND(IF(E110&gt;12,1,E110*'Performance Standards'!$AB$326),2),IF($B$17= "Summer",ROUND(IF(E110&gt;5,1,E110*'Performance Standards'!$AC$326),2), IF($B$17= "Fall",ROUND(IF(E110&gt;8,1,E110*'Performance Standards'!$AD$326),2)))), IF($B$17= "Winter/Spring", ROUND(IF(E110&gt;8,1,E110*'Performance Standards'!$AB$360),2),IF($B$17= "Summer",ROUND(IF(E110&gt;7,1,E110*'Performance Standards'!$AC$360),2), IF($B$17= "Fall",ROUND(IF(E110&gt;8,1,E110*'Performance Standards'!$AD$360),2)))))),IF($B$8 = "Coastal Plain", IF($B$9 &lt;=5, IF( $B$17= "Winter/Spring", ROUND(IF(E110&gt;=33,1,E110*'Performance Standards'!$AB$392),2), IF($B$17= "Summer", ROUND(IF(E110&gt;=14,1,E110*'Performance Standards'!$AC$392),2), IF($B$17= "Fall", ROUND(IF(E110&gt;=25,1,E110*'Performance Standards'!$AD$392),2)))), IF($B$9&lt;10, IF($B$17= "Winter/Spring", ROUND(IF(E110&gt;20,1,E110*'Performance Standards'!$AB$424),2),IF($B$17= "Summer",ROUND(IF(E110&gt;13,1,E110*'Performance Standards'!$AC$424),2), IF($B$17= "Fall",ROUND(IF(E110&gt;12,1,E110*'Performance Standards'!$AD$424),2)))), IF($B$17= "Winter/Spring", ROUND(IF(E110&gt;17,1,E110*'Performance Standards'!$AB$458),2),IF($B$17= "Summer",ROUND(IF(E110&gt;16,1,E110*'Performance Standards'!$AC$458),2), IF($B$17= "Fall",ROUND(IF(E110&gt;8,1,E110*'Performance Standards'!$AD$458),2))))))))))</f>
        <v/>
      </c>
      <c r="G110" s="457"/>
      <c r="H110" s="426"/>
      <c r="I110" s="425"/>
      <c r="J110" s="423"/>
      <c r="K110" s="423"/>
      <c r="L110" s="21"/>
      <c r="N110"/>
    </row>
    <row r="111" spans="1:14" s="14" customFormat="1" ht="15.75" x14ac:dyDescent="0.25">
      <c r="A111" s="430"/>
      <c r="B111" s="122" t="s">
        <v>162</v>
      </c>
      <c r="C111" s="377" t="s">
        <v>446</v>
      </c>
      <c r="D111" s="378"/>
      <c r="E111" s="304"/>
      <c r="F111" s="125" t="str">
        <f>IF(E111="","",IF(E111&gt;4,0,ROUND(E111^2*'Performance Standards'!$AB$488+E111*'Performance Standards'!$AB$489+'Performance Standards'!$AB$490,2)))</f>
        <v/>
      </c>
      <c r="G111" s="161" t="str">
        <f>IFERROR(AVERAGE(F111),"")</f>
        <v/>
      </c>
      <c r="H111" s="426"/>
      <c r="I111" s="425"/>
      <c r="J111" s="423"/>
      <c r="K111" s="423"/>
      <c r="L111" s="21"/>
      <c r="N111"/>
    </row>
    <row r="112" spans="1:14" s="14" customFormat="1" ht="15.75" x14ac:dyDescent="0.25">
      <c r="A112" s="432"/>
      <c r="B112" s="126" t="s">
        <v>163</v>
      </c>
      <c r="C112" s="377" t="s">
        <v>447</v>
      </c>
      <c r="D112" s="378"/>
      <c r="E112" s="253"/>
      <c r="F112" s="121" t="str">
        <f>IF(E112="","",IF(E112&gt;0.23,0,ROUND(E112^2*'Performance Standards'!$AB$521+E112*'Performance Standards'!$AB$522+'Performance Standards'!$AB$523,2)))</f>
        <v/>
      </c>
      <c r="G112" s="159" t="str">
        <f>IFERROR(AVERAGE(F112),"")</f>
        <v/>
      </c>
      <c r="H112" s="426"/>
      <c r="I112" s="425"/>
      <c r="J112" s="423"/>
      <c r="K112" s="423"/>
      <c r="L112" s="21"/>
      <c r="N112"/>
    </row>
    <row r="113" spans="1:14" ht="15.75" x14ac:dyDescent="0.25">
      <c r="A113" s="427" t="s">
        <v>70</v>
      </c>
      <c r="B113" s="451" t="s">
        <v>93</v>
      </c>
      <c r="C113" s="226" t="s">
        <v>253</v>
      </c>
      <c r="D113" s="227"/>
      <c r="E113" s="253"/>
      <c r="F113" s="228" t="str">
        <f>IF(E113="","",IF(B$8="Mountains",IF(E113&gt;6.52,0,IF(E113&lt;3.3,1,ROUND(IF(E113&gt;5.62,E113*'Performance Standards'!AL$15+'Performance Standards'!AL$16, E113^2*'Performance Standards'!AK$15+E113*'Performance Standards'!AK$16+'Performance Standards'!AK$17),2))),IF(B$8="Piedmont",IF(E113&gt;6.91,0, IF(E113&lt;4.31,1, ROUND(IF(E113&gt;5.85, E113*'Performance Standards'!$AL$49+'Performance Standards'!$AL$50, E113^2*'Performance Standards'!AK$49+E113*'Performance Standards'!AK$50+'Performance Standards'!AK$51),2))))))</f>
        <v/>
      </c>
      <c r="G113" s="460" t="str">
        <f>IFERROR(AVERAGE(F113:F114),"")</f>
        <v/>
      </c>
      <c r="H113" s="424" t="str">
        <f>IFERROR(ROUND(AVERAGE(G113:G115),2),"")</f>
        <v/>
      </c>
      <c r="I113" s="425" t="str">
        <f>IF(H113="","",IF(H113&gt;0.69,"Functioning",IF(H113&gt;0.29,"Functioning At Risk",IF(H113&gt;-1,"Not Functioning"))))</f>
        <v/>
      </c>
      <c r="J113" s="423"/>
      <c r="K113" s="423"/>
      <c r="L113" s="21"/>
    </row>
    <row r="114" spans="1:14" s="14" customFormat="1" ht="15.75" x14ac:dyDescent="0.25">
      <c r="A114" s="428"/>
      <c r="B114" s="452"/>
      <c r="C114" s="229" t="s">
        <v>264</v>
      </c>
      <c r="D114" s="128"/>
      <c r="E114" s="305"/>
      <c r="F114" s="230" t="str">
        <f>IF(E114="","",ROUND(IF(B$8="Mountains", IF(E114&lt;11,0,IF(E114&gt;35,1,E114^3*'Performance Standards'!AK$83+E114^2*'Performance Standards'!AK$84+E114*'Performance Standards'!AK$85+'Performance Standards'!AK$86)),IF(B$8 = "Piedmont", IF(E114&lt;7,0,IF(E114&gt;27,1,E114^3*'Performance Standards'!AK$116+E114^2*'Performance Standards'!AK$117+E114*'Performance Standards'!AK$118+'Performance Standards'!AK$119)), IF(B$8="Coastal Plain",IF(E114&lt;6,0,IF(E114&gt;23,1,E114^3*'Performance Standards'!AK$151+E114^2*'Performance Standards'!AK$152+E114*'Performance Standards'!AK$153+'Performance Standards'!AK$154))))),2))</f>
        <v/>
      </c>
      <c r="G114" s="461"/>
      <c r="H114" s="424"/>
      <c r="I114" s="425"/>
      <c r="J114" s="423"/>
      <c r="K114" s="423"/>
      <c r="L114" s="21"/>
    </row>
    <row r="115" spans="1:14" ht="15.75" x14ac:dyDescent="0.25">
      <c r="A115" s="429"/>
      <c r="B115" s="129" t="s">
        <v>146</v>
      </c>
      <c r="C115" s="128" t="s">
        <v>147</v>
      </c>
      <c r="D115" s="128"/>
      <c r="E115" s="305"/>
      <c r="F115" s="130" t="str">
        <f>IF(E115="","",IF(OR($B$15="French Broad",$B$15="Hiwassee",$B$15="Little Tennessee",$B$15="New",$B$15="Watauga"),IF(E115&lt;22,0,IF(E115&gt;=60,1,ROUND(E115*'Performance Standards'!$AK$185+'Performance Standards'!$AK$186,2))),IF(OR($B$15="Broad",$B$15="Catawba",$B$15="Savannah",$B$15="Yadkin-PeeDee"),IF(E115&lt;27,0,IF(E115&gt;=60,1,ROUND(E115^2*'Performance Standards'!$AK$219+E115*'Performance Standards'!$AK$220+'Performance Standards'!$AK$221,2))),IF(OR($B$15="Cape Fear",$B$15="Neuse",$B$15="Roanoke",$B$15="Tar-Pamlico"),IF(E115&lt;26,0,IF(E115&gt;=60,1,ROUND(E115^2*'Performance Standards'!$AK$253+E115*'Performance Standards'!$AK$254+'Performance Standards'!$AK$255,2)))))))</f>
        <v/>
      </c>
      <c r="G115" s="162" t="str">
        <f>IFERROR(AVERAGE(F115),"")</f>
        <v/>
      </c>
      <c r="H115" s="424"/>
      <c r="I115" s="425"/>
      <c r="J115" s="423"/>
      <c r="K115" s="423"/>
      <c r="L115" s="21"/>
    </row>
    <row r="116" spans="1:14" x14ac:dyDescent="0.25">
      <c r="H116" s="14"/>
      <c r="J116" s="14"/>
      <c r="K116" s="14"/>
      <c r="L116" s="21"/>
    </row>
    <row r="117" spans="1:14" s="14" customFormat="1" x14ac:dyDescent="0.25">
      <c r="L117" s="21"/>
    </row>
    <row r="118" spans="1:14" ht="21.75" thickBot="1" x14ac:dyDescent="0.4">
      <c r="A118" s="480" t="s">
        <v>217</v>
      </c>
      <c r="B118" s="481"/>
      <c r="C118" s="481"/>
      <c r="D118" s="482"/>
      <c r="E118" s="218"/>
      <c r="H118" s="54"/>
      <c r="I118" s="54"/>
      <c r="J118" s="21"/>
      <c r="K118" s="21"/>
    </row>
    <row r="119" spans="1:14" ht="16.5" customHeight="1" thickTop="1" x14ac:dyDescent="0.25">
      <c r="A119" s="458" t="s">
        <v>258</v>
      </c>
      <c r="B119" s="459"/>
      <c r="C119" s="465" t="s">
        <v>230</v>
      </c>
      <c r="D119" s="466"/>
      <c r="E119" s="216"/>
      <c r="H119" s="21"/>
      <c r="I119" s="21"/>
      <c r="J119" s="21"/>
      <c r="K119" s="21"/>
    </row>
    <row r="120" spans="1:14" ht="15.75" customHeight="1" x14ac:dyDescent="0.25">
      <c r="A120" s="136" t="s">
        <v>227</v>
      </c>
      <c r="B120" s="137"/>
      <c r="C120" s="467"/>
      <c r="D120" s="468"/>
      <c r="E120" s="216"/>
      <c r="H120" s="21"/>
      <c r="I120" s="21"/>
      <c r="J120" s="21"/>
      <c r="K120" s="21"/>
    </row>
    <row r="121" spans="1:14" ht="15.75" customHeight="1" x14ac:dyDescent="0.25">
      <c r="A121" s="86" t="s">
        <v>244</v>
      </c>
      <c r="B121" s="87"/>
      <c r="C121" s="467"/>
      <c r="D121" s="468"/>
      <c r="E121" s="216"/>
      <c r="H121" s="21"/>
      <c r="I121" s="21"/>
      <c r="J121" s="21"/>
      <c r="K121" s="21"/>
    </row>
    <row r="122" spans="1:14" ht="15.75" customHeight="1" x14ac:dyDescent="0.25">
      <c r="A122" s="138" t="s">
        <v>218</v>
      </c>
      <c r="B122" s="139" t="str">
        <f>IF(B121="","",ROUND(SQRT(43560*B121),2))</f>
        <v/>
      </c>
      <c r="C122" s="469"/>
      <c r="D122" s="470"/>
      <c r="E122" s="216"/>
      <c r="H122" s="21"/>
      <c r="I122" s="21"/>
      <c r="J122" s="21"/>
      <c r="K122" s="21"/>
    </row>
    <row r="123" spans="1:14" ht="15.75" x14ac:dyDescent="0.25">
      <c r="A123" s="462" t="s">
        <v>219</v>
      </c>
      <c r="B123" s="463"/>
      <c r="C123" s="463"/>
      <c r="D123" s="464"/>
      <c r="E123" s="217"/>
      <c r="H123" s="477"/>
      <c r="I123" s="477"/>
      <c r="J123" s="477"/>
      <c r="K123" s="43"/>
    </row>
    <row r="124" spans="1:14" ht="15" customHeight="1" x14ac:dyDescent="0.25">
      <c r="A124" s="140" t="s">
        <v>2</v>
      </c>
      <c r="B124" s="140" t="s">
        <v>3</v>
      </c>
      <c r="C124" s="140" t="s">
        <v>15</v>
      </c>
      <c r="D124" s="140" t="s">
        <v>16</v>
      </c>
      <c r="E124" s="21"/>
      <c r="H124" s="21"/>
      <c r="I124" s="21"/>
      <c r="J124" s="21"/>
      <c r="K124" s="21"/>
    </row>
    <row r="125" spans="1:14" s="14" customFormat="1" ht="15" customHeight="1" x14ac:dyDescent="0.25">
      <c r="A125" s="99" t="s">
        <v>79</v>
      </c>
      <c r="B125" s="100" t="s">
        <v>178</v>
      </c>
      <c r="C125" s="87"/>
      <c r="D125" s="92" t="str">
        <f>IF(C125="","",ROUND(IF(C125&gt;60,0,IF(C125&gt;=25,C125*'Performance Standards'!$D$118+'Performance Standards'!$D$119,C125^2*'Performance Standards'!$C$117+C125*'Performance Standards'!$C$118+'Performance Standards'!$C$119)),2))</f>
        <v/>
      </c>
      <c r="E125" s="21"/>
      <c r="F125"/>
      <c r="H125" s="21"/>
      <c r="I125" s="21"/>
      <c r="J125" s="21"/>
      <c r="K125" s="21"/>
      <c r="N125"/>
    </row>
    <row r="126" spans="1:14" ht="15" customHeight="1" x14ac:dyDescent="0.25">
      <c r="A126" s="193" t="s">
        <v>161</v>
      </c>
      <c r="B126" s="120" t="s">
        <v>438</v>
      </c>
      <c r="C126" s="87"/>
      <c r="D126" s="192" t="str">
        <f>IF(C126="","",IF($B$16="Coldwater",IF(C126&gt;77,0,IF(C126&lt;59,1,ROUND(C126*'Performance Standards'!$AB$15+'Performance Standards'!$AB$16,2))),IF($B$16="Coolwater",IF(C126&gt;97,0,IF(C126&lt;67,1,ROUND(C126*'Performance Standards'!$AC$15+'Performance Standards'!$AC$16,2))))))</f>
        <v/>
      </c>
      <c r="E126" s="21"/>
      <c r="H126" s="21"/>
      <c r="I126" s="21"/>
      <c r="J126" s="21"/>
      <c r="K126" s="21"/>
    </row>
    <row r="127" spans="1:14" ht="15.75" x14ac:dyDescent="0.25">
      <c r="A127" s="122" t="s">
        <v>176</v>
      </c>
      <c r="B127" s="133" t="s">
        <v>245</v>
      </c>
      <c r="C127" s="87"/>
      <c r="D127" s="192" t="str">
        <f>IF(C127="","",IF($B$8="Mountains",ROUND(IF(C127&gt;85,0,IF(C127&lt;41,1,C127*'Performance Standards'!$AB$83+'Performance Standards'!$AB$84)),2),IF($B$8="Piedmont",ROUND(IF(C127&gt;378,0,IF(C127&lt;78,1,C127*'Performance Standards'!$AB$48+'Performance Standards'!$AB$49)),2))))</f>
        <v/>
      </c>
      <c r="E127" s="21"/>
      <c r="H127" s="21"/>
      <c r="I127" s="21"/>
      <c r="J127" s="21"/>
      <c r="K127" s="21"/>
    </row>
    <row r="128" spans="1:14" ht="15.75" x14ac:dyDescent="0.25">
      <c r="A128" s="122" t="s">
        <v>162</v>
      </c>
      <c r="B128" s="122" t="s">
        <v>445</v>
      </c>
      <c r="C128" s="253"/>
      <c r="D128" s="191" t="str">
        <f>IF(C128="","",IF(C128&gt;4,0,ROUND(C128^2*'Performance Standards'!$AB$488+C128*'Performance Standards'!$AB$489+'Performance Standards'!$AB$490,2)))</f>
        <v/>
      </c>
      <c r="E128" s="21"/>
      <c r="H128" s="21"/>
      <c r="I128" s="21"/>
      <c r="J128" s="21"/>
      <c r="K128" s="21"/>
    </row>
    <row r="129" spans="1:12" ht="15.75" x14ac:dyDescent="0.25">
      <c r="A129" s="194" t="s">
        <v>163</v>
      </c>
      <c r="B129" s="122" t="s">
        <v>445</v>
      </c>
      <c r="C129" s="87"/>
      <c r="D129" s="191" t="str">
        <f>IF(C129="","",IF(C129&gt;0.23,0,ROUND(C129^2*'Performance Standards'!$AB$521+C129*'Performance Standards'!$AB$522+'Performance Standards'!$AB$523,2)))</f>
        <v/>
      </c>
      <c r="E129" s="21"/>
      <c r="H129" s="21"/>
      <c r="I129" s="21"/>
      <c r="J129" s="21"/>
      <c r="K129" s="21"/>
    </row>
    <row r="130" spans="1:12" ht="15.75" x14ac:dyDescent="0.25">
      <c r="A130" s="462" t="s">
        <v>220</v>
      </c>
      <c r="B130" s="463"/>
      <c r="C130" s="463"/>
      <c r="D130" s="464"/>
      <c r="E130" s="21"/>
      <c r="H130" s="21"/>
      <c r="I130" s="21"/>
      <c r="J130" s="21"/>
      <c r="K130" s="21"/>
    </row>
    <row r="131" spans="1:12" ht="15.75" x14ac:dyDescent="0.25">
      <c r="A131" s="140" t="s">
        <v>2</v>
      </c>
      <c r="B131" s="140" t="s">
        <v>3</v>
      </c>
      <c r="C131" s="140" t="s">
        <v>15</v>
      </c>
      <c r="D131" s="140" t="s">
        <v>16</v>
      </c>
      <c r="E131" s="21"/>
    </row>
    <row r="132" spans="1:12" ht="15.75" x14ac:dyDescent="0.25">
      <c r="A132" s="99" t="s">
        <v>79</v>
      </c>
      <c r="B132" s="100" t="s">
        <v>178</v>
      </c>
      <c r="C132" s="87"/>
      <c r="D132" s="92" t="str">
        <f>IF(C132="","",ROUND(IF(C132&gt;60,0,IF(C132&gt;=25,C132*'Performance Standards'!D118+'Performance Standards'!D119,C132^2*'Performance Standards'!C117+C132*'Performance Standards'!C118+'Performance Standards'!C119)),2))</f>
        <v/>
      </c>
      <c r="E132" s="21"/>
    </row>
    <row r="133" spans="1:12" ht="15.75" x14ac:dyDescent="0.25">
      <c r="A133" s="193" t="s">
        <v>161</v>
      </c>
      <c r="B133" s="120" t="s">
        <v>438</v>
      </c>
      <c r="C133" s="87"/>
      <c r="D133" s="192" t="str">
        <f>IF(C133="","",IF($B$16="Coldwater",IF(C133&gt;77,0,IF(C133&lt;59,1,ROUND(C133*'Performance Standards'!$AB$15+'Performance Standards'!$AB$16,2))),IF($B$16="Coolwater",IF(C133&gt;97,0,IF(C133&lt;67,1,ROUND(C133*'Performance Standards'!$AC$15+'Performance Standards'!$AC$16,2))))))</f>
        <v/>
      </c>
      <c r="E133" s="21"/>
    </row>
    <row r="134" spans="1:12" ht="15.75" x14ac:dyDescent="0.25">
      <c r="A134" s="122" t="s">
        <v>176</v>
      </c>
      <c r="B134" s="133" t="s">
        <v>245</v>
      </c>
      <c r="C134" s="87"/>
      <c r="D134" s="192" t="str">
        <f>IF(C134="","",IF($B$8="Mountains",ROUND(IF(C134&gt;85,0,IF(C134&lt;41,1,C134*'Performance Standards'!$AB$83+'Performance Standards'!$AB$84)),2),IF($B$8="Piedmont",ROUND(IF(C134&gt;378,0,IF(C134&lt;78,1,C134*'Performance Standards'!$AB$48+'Performance Standards'!$AB$49)),2))))</f>
        <v/>
      </c>
      <c r="E134" s="21"/>
      <c r="L134" s="21"/>
    </row>
    <row r="135" spans="1:12" ht="15.75" x14ac:dyDescent="0.25">
      <c r="A135" s="122" t="s">
        <v>162</v>
      </c>
      <c r="B135" s="122" t="s">
        <v>445</v>
      </c>
      <c r="C135" s="253"/>
      <c r="D135" s="191" t="str">
        <f>IF(C135="","",IF(C135&gt;4,0,ROUND(C135^2*'Performance Standards'!$AB$488+C135*'Performance Standards'!$AB$489+'Performance Standards'!$AB$490,2)))</f>
        <v/>
      </c>
      <c r="E135" s="21"/>
      <c r="L135" s="21"/>
    </row>
    <row r="136" spans="1:12" ht="15.75" x14ac:dyDescent="0.25">
      <c r="A136" s="194" t="s">
        <v>163</v>
      </c>
      <c r="B136" s="122" t="s">
        <v>445</v>
      </c>
      <c r="C136" s="87"/>
      <c r="D136" s="191" t="str">
        <f>IF(C136="","",IF(C136&gt;0.23,0,ROUND(C136^2*'Performance Standards'!$AB$521+C136*'Performance Standards'!$AB$522+'Performance Standards'!$AB$523,2)))</f>
        <v/>
      </c>
      <c r="E136" s="21"/>
      <c r="L136" s="21"/>
    </row>
    <row r="137" spans="1:12" ht="15.75" x14ac:dyDescent="0.25">
      <c r="A137" s="453" t="s">
        <v>221</v>
      </c>
      <c r="B137" s="453"/>
      <c r="C137" s="471"/>
      <c r="D137" s="472"/>
      <c r="E137" s="217"/>
      <c r="L137" s="21"/>
    </row>
    <row r="138" spans="1:12" ht="15.75" x14ac:dyDescent="0.25">
      <c r="A138" s="86" t="s">
        <v>222</v>
      </c>
      <c r="B138" s="93" t="str">
        <f>IFERROR(AVERAGE(D125:D129),"")</f>
        <v/>
      </c>
      <c r="C138" s="473"/>
      <c r="D138" s="474"/>
      <c r="E138" s="217"/>
      <c r="L138" s="21"/>
    </row>
    <row r="139" spans="1:12" ht="15.75" x14ac:dyDescent="0.25">
      <c r="A139" s="86" t="s">
        <v>223</v>
      </c>
      <c r="B139" s="93" t="str">
        <f>IFERROR(AVERAGE(D132:D136),"")</f>
        <v/>
      </c>
      <c r="C139" s="473"/>
      <c r="D139" s="474"/>
      <c r="E139" s="217"/>
      <c r="L139" s="21"/>
    </row>
    <row r="140" spans="1:12" ht="15.75" x14ac:dyDescent="0.25">
      <c r="A140" s="86" t="s">
        <v>224</v>
      </c>
      <c r="B140" s="93" t="str">
        <f>IFERROR(B138*B122,"")</f>
        <v/>
      </c>
      <c r="C140" s="473"/>
      <c r="D140" s="474"/>
      <c r="E140" s="217"/>
      <c r="L140" s="21"/>
    </row>
    <row r="141" spans="1:12" ht="15.75" x14ac:dyDescent="0.25">
      <c r="A141" s="86" t="s">
        <v>225</v>
      </c>
      <c r="B141" s="93" t="str">
        <f>IFERROR(B139*B122,"")</f>
        <v/>
      </c>
      <c r="C141" s="473"/>
      <c r="D141" s="474"/>
      <c r="E141" s="217"/>
      <c r="L141" s="21"/>
    </row>
    <row r="142" spans="1:12" ht="16.5" thickBot="1" x14ac:dyDescent="0.3">
      <c r="A142" s="141" t="s">
        <v>226</v>
      </c>
      <c r="B142" s="142" t="str">
        <f>IFERROR(B141-B140,"")</f>
        <v/>
      </c>
      <c r="C142" s="475"/>
      <c r="D142" s="476"/>
      <c r="E142" s="217"/>
      <c r="L142" s="21"/>
    </row>
    <row r="143" spans="1:12" ht="16.5" thickTop="1" thickBot="1" x14ac:dyDescent="0.3">
      <c r="A143" s="85"/>
      <c r="B143" s="85"/>
      <c r="C143" s="85"/>
      <c r="D143" s="85"/>
      <c r="E143" s="21"/>
      <c r="L143" s="21"/>
    </row>
    <row r="144" spans="1:12" ht="16.5" customHeight="1" thickTop="1" x14ac:dyDescent="0.25">
      <c r="A144" s="454" t="s">
        <v>258</v>
      </c>
      <c r="B144" s="455"/>
      <c r="C144" s="465" t="s">
        <v>229</v>
      </c>
      <c r="D144" s="466"/>
      <c r="E144" s="216"/>
    </row>
    <row r="145" spans="1:5" ht="15.75" customHeight="1" x14ac:dyDescent="0.25">
      <c r="A145" s="136" t="s">
        <v>227</v>
      </c>
      <c r="B145" s="137"/>
      <c r="C145" s="467"/>
      <c r="D145" s="468"/>
      <c r="E145" s="216"/>
    </row>
    <row r="146" spans="1:5" ht="15.75" customHeight="1" x14ac:dyDescent="0.25">
      <c r="A146" s="86" t="s">
        <v>244</v>
      </c>
      <c r="B146" s="87"/>
      <c r="C146" s="467"/>
      <c r="D146" s="468"/>
      <c r="E146" s="216"/>
    </row>
    <row r="147" spans="1:5" ht="15.75" customHeight="1" x14ac:dyDescent="0.25">
      <c r="A147" s="138" t="s">
        <v>218</v>
      </c>
      <c r="B147" s="139" t="str">
        <f>IF(B146="","",ROUND(SQRT(43560*B146),2))</f>
        <v/>
      </c>
      <c r="C147" s="469"/>
      <c r="D147" s="470"/>
      <c r="E147" s="216"/>
    </row>
    <row r="148" spans="1:5" ht="15.75" x14ac:dyDescent="0.25">
      <c r="A148" s="462" t="s">
        <v>219</v>
      </c>
      <c r="B148" s="463"/>
      <c r="C148" s="463"/>
      <c r="D148" s="464"/>
      <c r="E148" s="217"/>
    </row>
    <row r="149" spans="1:5" ht="15.75" x14ac:dyDescent="0.25">
      <c r="A149" s="140" t="s">
        <v>2</v>
      </c>
      <c r="B149" s="140" t="s">
        <v>3</v>
      </c>
      <c r="C149" s="140" t="s">
        <v>15</v>
      </c>
      <c r="D149" s="140" t="s">
        <v>16</v>
      </c>
      <c r="E149" s="21"/>
    </row>
    <row r="150" spans="1:5" ht="15.75" x14ac:dyDescent="0.25">
      <c r="A150" s="99" t="s">
        <v>79</v>
      </c>
      <c r="B150" s="100" t="s">
        <v>178</v>
      </c>
      <c r="C150" s="87"/>
      <c r="D150" s="92" t="str">
        <f>IF(C150="","",ROUND(IF(C150&gt;60,0,IF(C150&gt;=25,C150*'Performance Standards'!$D$118+'Performance Standards'!$D$119,C150^2*'Performance Standards'!$C$117+C150*'Performance Standards'!$C$118+'Performance Standards'!$C$119)),2))</f>
        <v/>
      </c>
      <c r="E150" s="21"/>
    </row>
    <row r="151" spans="1:5" ht="15.75" x14ac:dyDescent="0.25">
      <c r="A151" s="193" t="s">
        <v>161</v>
      </c>
      <c r="B151" s="120" t="s">
        <v>438</v>
      </c>
      <c r="C151" s="87"/>
      <c r="D151" s="192" t="str">
        <f>IF(C151="","",IF($B$16="Coldwater",IF(C151&gt;77,0,IF(C151&lt;59,1,ROUND(C151*'Performance Standards'!$AB$15+'Performance Standards'!$AB$16,2))),IF($B$16="Coolwater",IF(C151&gt;97,0,IF(C151&lt;67,1,ROUND(C151*'Performance Standards'!$AC$15+'Performance Standards'!$AC$16,2))))))</f>
        <v/>
      </c>
      <c r="E151" s="21"/>
    </row>
    <row r="152" spans="1:5" ht="15.75" x14ac:dyDescent="0.25">
      <c r="A152" s="122" t="s">
        <v>176</v>
      </c>
      <c r="B152" s="133" t="s">
        <v>245</v>
      </c>
      <c r="C152" s="87"/>
      <c r="D152" s="192" t="str">
        <f>IF(C152="","",IF($B$8="Mountains",ROUND(IF(C152&gt;85,0,IF(C152&lt;41,1,C152*'Performance Standards'!$AB$83+'Performance Standards'!$AB$84)),2),IF($B$8="Piedmont",ROUND(IF(C152&gt;378,0,IF(C152&lt;78,1,C152*'Performance Standards'!$AB$48+'Performance Standards'!$AB$49)),2))))</f>
        <v/>
      </c>
      <c r="E152" s="21"/>
    </row>
    <row r="153" spans="1:5" ht="15.75" x14ac:dyDescent="0.25">
      <c r="A153" s="122" t="s">
        <v>162</v>
      </c>
      <c r="B153" s="122" t="s">
        <v>445</v>
      </c>
      <c r="C153" s="87"/>
      <c r="D153" s="191" t="str">
        <f>IF(C153="","",IF(C153&gt;4,0,ROUND(C153^2*'Performance Standards'!$AB$488+C153*'Performance Standards'!$AB$489+'Performance Standards'!$AB$490,2)))</f>
        <v/>
      </c>
      <c r="E153" s="21"/>
    </row>
    <row r="154" spans="1:5" ht="15.75" x14ac:dyDescent="0.25">
      <c r="A154" s="194" t="s">
        <v>163</v>
      </c>
      <c r="B154" s="122" t="s">
        <v>445</v>
      </c>
      <c r="C154" s="87"/>
      <c r="D154" s="191" t="str">
        <f>IF(C154="","",IF(C154&gt;0.23,0,ROUND(C154^2*'Performance Standards'!$AB$521+C154*'Performance Standards'!$AB$522+'Performance Standards'!$AB$523,2)))</f>
        <v/>
      </c>
      <c r="E154" s="21"/>
    </row>
    <row r="155" spans="1:5" ht="15.75" x14ac:dyDescent="0.25">
      <c r="A155" s="462" t="s">
        <v>220</v>
      </c>
      <c r="B155" s="463"/>
      <c r="C155" s="463"/>
      <c r="D155" s="464"/>
      <c r="E155" s="21"/>
    </row>
    <row r="156" spans="1:5" ht="15.75" x14ac:dyDescent="0.25">
      <c r="A156" s="140" t="s">
        <v>2</v>
      </c>
      <c r="B156" s="140" t="s">
        <v>3</v>
      </c>
      <c r="C156" s="140" t="s">
        <v>15</v>
      </c>
      <c r="D156" s="140" t="s">
        <v>16</v>
      </c>
      <c r="E156" s="21"/>
    </row>
    <row r="157" spans="1:5" ht="15.75" x14ac:dyDescent="0.25">
      <c r="A157" s="99" t="s">
        <v>79</v>
      </c>
      <c r="B157" s="100" t="s">
        <v>178</v>
      </c>
      <c r="C157" s="87"/>
      <c r="D157" s="92" t="str">
        <f>IF(C157="","",ROUND(IF(C157&gt;60,0,IF(C157&gt;=25,C157*'Performance Standards'!$D$118+'Performance Standards'!$D$119,C157^2*'Performance Standards'!$C$117+C157*'Performance Standards'!$C$118+'Performance Standards'!$C$119)),2))</f>
        <v/>
      </c>
      <c r="E157" s="21"/>
    </row>
    <row r="158" spans="1:5" ht="15.75" x14ac:dyDescent="0.25">
      <c r="A158" s="193" t="s">
        <v>161</v>
      </c>
      <c r="B158" s="120" t="s">
        <v>438</v>
      </c>
      <c r="C158" s="87"/>
      <c r="D158" s="192" t="str">
        <f>IF(C158="","",IF($B$16="Coldwater",IF(C158&gt;77,0,IF(C158&lt;59,1,ROUND(C158*'Performance Standards'!$AB$15+'Performance Standards'!$AB$16,2))),IF($B$16="Coolwater",IF(C158&gt;97,0,IF(C158&lt;67,1,ROUND(C158*'Performance Standards'!$AC$15+'Performance Standards'!$AC$16,2))))))</f>
        <v/>
      </c>
      <c r="E158" s="21"/>
    </row>
    <row r="159" spans="1:5" ht="15.75" x14ac:dyDescent="0.25">
      <c r="A159" s="122" t="s">
        <v>176</v>
      </c>
      <c r="B159" s="133" t="s">
        <v>245</v>
      </c>
      <c r="C159" s="87"/>
      <c r="D159" s="192" t="str">
        <f>IF(C159="","",IF($B$8="Mountains",ROUND(IF(C159&gt;85,0,IF(C159&lt;41,1,C159*'Performance Standards'!$AB$83+'Performance Standards'!$AB$84)),2),IF($B$8="Piedmont",ROUND(IF(C159&gt;378,0,IF(C159&lt;78,1,C159*'Performance Standards'!$AB$48+'Performance Standards'!$AB$49)),2))))</f>
        <v/>
      </c>
      <c r="E159" s="21"/>
    </row>
    <row r="160" spans="1:5" ht="15.75" x14ac:dyDescent="0.25">
      <c r="A160" s="122" t="s">
        <v>162</v>
      </c>
      <c r="B160" s="122" t="s">
        <v>445</v>
      </c>
      <c r="C160" s="87"/>
      <c r="D160" s="191" t="str">
        <f>IF(C160="","",IF(C160&gt;4,0,ROUND(C160^2*'Performance Standards'!$AB$488+C160*'Performance Standards'!$AB$489+'Performance Standards'!$AB$490,2)))</f>
        <v/>
      </c>
      <c r="E160" s="21"/>
    </row>
    <row r="161" spans="1:5" ht="15.75" x14ac:dyDescent="0.25">
      <c r="A161" s="194" t="s">
        <v>163</v>
      </c>
      <c r="B161" s="122" t="s">
        <v>445</v>
      </c>
      <c r="C161" s="87"/>
      <c r="D161" s="191" t="str">
        <f>IF(C161="","",IF(C161&gt;0.23,0,ROUND(C161^2*'Performance Standards'!$AB$521+C161*'Performance Standards'!$AB$522+'Performance Standards'!$AB$523,2)))</f>
        <v/>
      </c>
      <c r="E161" s="21"/>
    </row>
    <row r="162" spans="1:5" ht="15.75" x14ac:dyDescent="0.25">
      <c r="A162" s="453" t="s">
        <v>221</v>
      </c>
      <c r="B162" s="453"/>
      <c r="C162" s="471"/>
      <c r="D162" s="472"/>
      <c r="E162" s="217"/>
    </row>
    <row r="163" spans="1:5" ht="15.75" x14ac:dyDescent="0.25">
      <c r="A163" s="86" t="s">
        <v>222</v>
      </c>
      <c r="B163" s="93" t="str">
        <f>IFERROR(AVERAGE(D150:D154),"")</f>
        <v/>
      </c>
      <c r="C163" s="473"/>
      <c r="D163" s="474"/>
      <c r="E163" s="217"/>
    </row>
    <row r="164" spans="1:5" ht="15.75" x14ac:dyDescent="0.25">
      <c r="A164" s="86" t="s">
        <v>223</v>
      </c>
      <c r="B164" s="93" t="str">
        <f>IFERROR(AVERAGE(D157:D161),"")</f>
        <v/>
      </c>
      <c r="C164" s="473"/>
      <c r="D164" s="474"/>
      <c r="E164" s="217"/>
    </row>
    <row r="165" spans="1:5" ht="15.75" x14ac:dyDescent="0.25">
      <c r="A165" s="86" t="s">
        <v>224</v>
      </c>
      <c r="B165" s="93" t="str">
        <f>IFERROR(B163*B147,"")</f>
        <v/>
      </c>
      <c r="C165" s="473"/>
      <c r="D165" s="474"/>
      <c r="E165" s="217"/>
    </row>
    <row r="166" spans="1:5" ht="15.75" x14ac:dyDescent="0.25">
      <c r="A166" s="86" t="s">
        <v>225</v>
      </c>
      <c r="B166" s="93" t="str">
        <f>IFERROR(B164*B147,"")</f>
        <v/>
      </c>
      <c r="C166" s="473"/>
      <c r="D166" s="474"/>
      <c r="E166" s="217"/>
    </row>
    <row r="167" spans="1:5" ht="16.5" thickBot="1" x14ac:dyDescent="0.3">
      <c r="A167" s="141" t="s">
        <v>226</v>
      </c>
      <c r="B167" s="142" t="str">
        <f>IFERROR(B166-B165,"")</f>
        <v/>
      </c>
      <c r="C167" s="475"/>
      <c r="D167" s="476"/>
      <c r="E167" s="217"/>
    </row>
    <row r="168" spans="1:5" ht="15.75" thickTop="1" x14ac:dyDescent="0.25">
      <c r="A168" s="143"/>
      <c r="B168" s="143"/>
      <c r="C168" s="143"/>
      <c r="D168" s="143"/>
      <c r="E168" s="21"/>
    </row>
    <row r="169" spans="1:5" s="14" customFormat="1" ht="15.75" thickBot="1" x14ac:dyDescent="0.3">
      <c r="A169" s="144"/>
      <c r="B169" s="144"/>
      <c r="C169" s="144"/>
      <c r="D169" s="144"/>
      <c r="E169" s="21"/>
    </row>
    <row r="170" spans="1:5" ht="16.5" customHeight="1" thickTop="1" x14ac:dyDescent="0.25">
      <c r="A170" s="454" t="s">
        <v>258</v>
      </c>
      <c r="B170" s="455"/>
      <c r="C170" s="465" t="s">
        <v>228</v>
      </c>
      <c r="D170" s="466"/>
      <c r="E170" s="216"/>
    </row>
    <row r="171" spans="1:5" ht="15.75" customHeight="1" x14ac:dyDescent="0.25">
      <c r="A171" s="136" t="s">
        <v>227</v>
      </c>
      <c r="B171" s="137"/>
      <c r="C171" s="467"/>
      <c r="D171" s="468"/>
      <c r="E171" s="216"/>
    </row>
    <row r="172" spans="1:5" ht="15.75" customHeight="1" x14ac:dyDescent="0.25">
      <c r="A172" s="86" t="s">
        <v>244</v>
      </c>
      <c r="B172" s="87"/>
      <c r="C172" s="467"/>
      <c r="D172" s="468"/>
      <c r="E172" s="216"/>
    </row>
    <row r="173" spans="1:5" ht="15.75" customHeight="1" x14ac:dyDescent="0.25">
      <c r="A173" s="138" t="s">
        <v>218</v>
      </c>
      <c r="B173" s="139" t="str">
        <f>IF(B172="","",ROUND(SQRT(43560*B172),2))</f>
        <v/>
      </c>
      <c r="C173" s="469"/>
      <c r="D173" s="470"/>
      <c r="E173" s="216"/>
    </row>
    <row r="174" spans="1:5" ht="15.75" x14ac:dyDescent="0.25">
      <c r="A174" s="462" t="s">
        <v>219</v>
      </c>
      <c r="B174" s="463"/>
      <c r="C174" s="463"/>
      <c r="D174" s="464"/>
      <c r="E174" s="217"/>
    </row>
    <row r="175" spans="1:5" ht="15.75" x14ac:dyDescent="0.25">
      <c r="A175" s="140" t="s">
        <v>2</v>
      </c>
      <c r="B175" s="140" t="s">
        <v>3</v>
      </c>
      <c r="C175" s="140" t="s">
        <v>15</v>
      </c>
      <c r="D175" s="140" t="s">
        <v>16</v>
      </c>
      <c r="E175" s="21"/>
    </row>
    <row r="176" spans="1:5" ht="15.75" x14ac:dyDescent="0.25">
      <c r="A176" s="99" t="s">
        <v>79</v>
      </c>
      <c r="B176" s="100" t="s">
        <v>178</v>
      </c>
      <c r="C176" s="87"/>
      <c r="D176" s="92" t="str">
        <f>IF(C176="","",ROUND(IF(C176&gt;60,0,IF(C176&gt;=25,C176*'Performance Standards'!$D$118+'Performance Standards'!$D$119,C176^2*'Performance Standards'!$C$117+C176*'Performance Standards'!$C$118+'Performance Standards'!$C$119)),2))</f>
        <v/>
      </c>
      <c r="E176" s="21"/>
    </row>
    <row r="177" spans="1:5" ht="15.75" x14ac:dyDescent="0.25">
      <c r="A177" s="193" t="s">
        <v>161</v>
      </c>
      <c r="B177" s="120" t="s">
        <v>438</v>
      </c>
      <c r="C177" s="87"/>
      <c r="D177" s="192" t="str">
        <f>IF(C177="","",IF($B$16="Coldwater",IF(C177&gt;77,0,IF(C177&lt;59,1,ROUND(C177*'Performance Standards'!$AB$15+'Performance Standards'!$AB$16,2))),IF($B$16="Coolwater",IF(C177&gt;97,0,IF(C177&lt;67,1,ROUND(C177*'Performance Standards'!$AC$15+'Performance Standards'!$AC$16,2))))))</f>
        <v/>
      </c>
      <c r="E177" s="21"/>
    </row>
    <row r="178" spans="1:5" ht="15.75" x14ac:dyDescent="0.25">
      <c r="A178" s="122" t="s">
        <v>176</v>
      </c>
      <c r="B178" s="133" t="s">
        <v>245</v>
      </c>
      <c r="C178" s="87"/>
      <c r="D178" s="192" t="str">
        <f>IF(C178="","",IF($B$8="Mountains",ROUND(IF(C178&gt;85,0,IF(C178&lt;41,1,C178*'Performance Standards'!$AB$83+'Performance Standards'!$AB$84)),2),IF($B$8="Piedmont",ROUND(IF(C178&gt;378,0,IF(C178&lt;78,1,C178*'Performance Standards'!$AB$48+'Performance Standards'!$AB$49)),2))))</f>
        <v/>
      </c>
      <c r="E178" s="21"/>
    </row>
    <row r="179" spans="1:5" ht="15.75" x14ac:dyDescent="0.25">
      <c r="A179" s="122" t="s">
        <v>162</v>
      </c>
      <c r="B179" s="122" t="s">
        <v>445</v>
      </c>
      <c r="C179" s="87"/>
      <c r="D179" s="191" t="str">
        <f>IF(C179="","",IF(C179&gt;4,0,ROUND(C179^2*'Performance Standards'!$AB$488+C179*'Performance Standards'!$AB$489+'Performance Standards'!$AB$490,2)))</f>
        <v/>
      </c>
      <c r="E179" s="21"/>
    </row>
    <row r="180" spans="1:5" ht="15.75" x14ac:dyDescent="0.25">
      <c r="A180" s="194" t="s">
        <v>163</v>
      </c>
      <c r="B180" s="122" t="s">
        <v>445</v>
      </c>
      <c r="C180" s="87"/>
      <c r="D180" s="191" t="str">
        <f>IF(C180="","",IF(C180&gt;0.23,0,ROUND(C180^2*'Performance Standards'!$AB$521+C180*'Performance Standards'!$AB$522+'Performance Standards'!$AB$523,2)))</f>
        <v/>
      </c>
      <c r="E180" s="21"/>
    </row>
    <row r="181" spans="1:5" ht="15.75" x14ac:dyDescent="0.25">
      <c r="A181" s="462" t="s">
        <v>220</v>
      </c>
      <c r="B181" s="463"/>
      <c r="C181" s="463"/>
      <c r="D181" s="464"/>
      <c r="E181" s="21"/>
    </row>
    <row r="182" spans="1:5" ht="15.75" x14ac:dyDescent="0.25">
      <c r="A182" s="140" t="s">
        <v>2</v>
      </c>
      <c r="B182" s="140" t="s">
        <v>3</v>
      </c>
      <c r="C182" s="140" t="s">
        <v>15</v>
      </c>
      <c r="D182" s="140" t="s">
        <v>16</v>
      </c>
      <c r="E182" s="21"/>
    </row>
    <row r="183" spans="1:5" ht="15.75" x14ac:dyDescent="0.25">
      <c r="A183" s="99" t="s">
        <v>79</v>
      </c>
      <c r="B183" s="100" t="s">
        <v>178</v>
      </c>
      <c r="C183" s="87"/>
      <c r="D183" s="92" t="str">
        <f>IF(C183="","",ROUND(IF(C183&gt;60,0,IF(C183&gt;=25,C183*'Performance Standards'!$D$118+'Performance Standards'!$D$119,C183^2*'Performance Standards'!$C$117+C183*'Performance Standards'!$C$118+'Performance Standards'!$C$119)),2))</f>
        <v/>
      </c>
      <c r="E183" s="21"/>
    </row>
    <row r="184" spans="1:5" ht="15.75" x14ac:dyDescent="0.25">
      <c r="A184" s="193" t="s">
        <v>161</v>
      </c>
      <c r="B184" s="120" t="s">
        <v>438</v>
      </c>
      <c r="C184" s="87"/>
      <c r="D184" s="192" t="str">
        <f>_xlfn.IFS(C184="","",$B$16="Coldwater",_xlfn.IFS(C184&gt;77,0,C184&lt;59,1,TRUE,ROUND(C184*'Performance Standards'!$AB$15+'Performance Standards'!$AB$16,2)),$B$16="Coolwater",_xlfn.IFS(C184&gt;97,0,C184&lt;67,1,TRUE,ROUND(C184*'Performance Standards'!$AC$15+'Performance Standards'!$AC$16,2)))</f>
        <v/>
      </c>
      <c r="E184" s="21"/>
    </row>
    <row r="185" spans="1:5" ht="15.75" x14ac:dyDescent="0.25">
      <c r="A185" s="122" t="s">
        <v>176</v>
      </c>
      <c r="B185" s="133" t="s">
        <v>245</v>
      </c>
      <c r="C185" s="87"/>
      <c r="D185" s="192" t="str">
        <f>IF(C185="","",IF($B$8="Mountains",ROUND(IF(C185&gt;85,0,IF(C185&lt;41,1,C185*'Performance Standards'!$AB$83+'Performance Standards'!$AB$84)),2),IF($B$8="Piedmont",ROUND(IF(C185&gt;378,0,IF(C185&lt;78,1,C185*'Performance Standards'!$AB$48+'Performance Standards'!$AB$49)),2))))</f>
        <v/>
      </c>
      <c r="E185" s="21"/>
    </row>
    <row r="186" spans="1:5" ht="15.75" x14ac:dyDescent="0.25">
      <c r="A186" s="122" t="s">
        <v>162</v>
      </c>
      <c r="B186" s="122" t="s">
        <v>445</v>
      </c>
      <c r="C186" s="87"/>
      <c r="D186" s="191" t="str">
        <f>IF(C186="","",IF(C186&gt;4,0,ROUND(C186^2*'Performance Standards'!$AB$488+C186*'Performance Standards'!$AB$489+'Performance Standards'!$AB$490,2)))</f>
        <v/>
      </c>
      <c r="E186" s="21"/>
    </row>
    <row r="187" spans="1:5" ht="15.75" x14ac:dyDescent="0.25">
      <c r="A187" s="194" t="s">
        <v>163</v>
      </c>
      <c r="B187" s="122" t="s">
        <v>445</v>
      </c>
      <c r="C187" s="87"/>
      <c r="D187" s="191" t="str">
        <f>IF(C187="","",IF(C187&gt;0.23,0,ROUND(C187^2*'Performance Standards'!$AB$521+C187*'Performance Standards'!$AB$522+'Performance Standards'!$AB$523,2)))</f>
        <v/>
      </c>
      <c r="E187" s="21"/>
    </row>
    <row r="188" spans="1:5" ht="15.75" x14ac:dyDescent="0.25">
      <c r="A188" s="453" t="s">
        <v>221</v>
      </c>
      <c r="B188" s="453"/>
      <c r="C188" s="471"/>
      <c r="D188" s="472"/>
      <c r="E188" s="217"/>
    </row>
    <row r="189" spans="1:5" ht="15.75" x14ac:dyDescent="0.25">
      <c r="A189" s="86" t="s">
        <v>222</v>
      </c>
      <c r="B189" s="93" t="str">
        <f>IFERROR(AVERAGE(D176:D180),"")</f>
        <v/>
      </c>
      <c r="C189" s="473"/>
      <c r="D189" s="474"/>
      <c r="E189" s="217"/>
    </row>
    <row r="190" spans="1:5" ht="15.75" x14ac:dyDescent="0.25">
      <c r="A190" s="86" t="s">
        <v>223</v>
      </c>
      <c r="B190" s="93" t="str">
        <f>IFERROR(AVERAGE(D183:D187),"")</f>
        <v/>
      </c>
      <c r="C190" s="473"/>
      <c r="D190" s="474"/>
      <c r="E190" s="217"/>
    </row>
    <row r="191" spans="1:5" ht="15.75" x14ac:dyDescent="0.25">
      <c r="A191" s="86" t="s">
        <v>224</v>
      </c>
      <c r="B191" s="93" t="str">
        <f>IFERROR(B189*B173,"")</f>
        <v/>
      </c>
      <c r="C191" s="473"/>
      <c r="D191" s="474"/>
      <c r="E191" s="217"/>
    </row>
    <row r="192" spans="1:5" ht="15.75" x14ac:dyDescent="0.25">
      <c r="A192" s="86" t="s">
        <v>225</v>
      </c>
      <c r="B192" s="93" t="str">
        <f>IFERROR(B190*B173,"")</f>
        <v/>
      </c>
      <c r="C192" s="473"/>
      <c r="D192" s="474"/>
      <c r="E192" s="217"/>
    </row>
    <row r="193" spans="1:5" ht="15.75" x14ac:dyDescent="0.25">
      <c r="A193" s="88" t="s">
        <v>226</v>
      </c>
      <c r="B193" s="93" t="str">
        <f>IFERROR(B192-B191,"")</f>
        <v/>
      </c>
      <c r="C193" s="478"/>
      <c r="D193" s="479"/>
      <c r="E193" s="217"/>
    </row>
  </sheetData>
  <sheetProtection algorithmName="SHA-512" hashValue="bMmd8DuPN2g1jp/7oVY+nwjkszihDHDmlumVMTTP3AYbKqPDsVzzNZaYWmQF9Fx2/Q6R3i14vORn0oIJaFKXGA==" saltValue="Q68nHaw4W7TQCRLD2wPC5A==" spinCount="100000" sheet="1" objects="1" scenarios="1"/>
  <dataConsolidate/>
  <mergeCells count="135">
    <mergeCell ref="B50:B51"/>
    <mergeCell ref="G48:G49"/>
    <mergeCell ref="I48:I49"/>
    <mergeCell ref="H48:H49"/>
    <mergeCell ref="B45:B47"/>
    <mergeCell ref="F33:G35"/>
    <mergeCell ref="H33:H35"/>
    <mergeCell ref="I33:I35"/>
    <mergeCell ref="J33:K35"/>
    <mergeCell ref="F36:G38"/>
    <mergeCell ref="H36:H38"/>
    <mergeCell ref="I36:I38"/>
    <mergeCell ref="J36:K38"/>
    <mergeCell ref="G50:G51"/>
    <mergeCell ref="D6:F6"/>
    <mergeCell ref="B21:B22"/>
    <mergeCell ref="D18:K18"/>
    <mergeCell ref="A50:A68"/>
    <mergeCell ref="B48:B49"/>
    <mergeCell ref="B52:B54"/>
    <mergeCell ref="B55:B62"/>
    <mergeCell ref="F20:K20"/>
    <mergeCell ref="J23:K25"/>
    <mergeCell ref="J26:K28"/>
    <mergeCell ref="J29:K32"/>
    <mergeCell ref="C43:D43"/>
    <mergeCell ref="G55:G62"/>
    <mergeCell ref="G42:K42"/>
    <mergeCell ref="K44:K77"/>
    <mergeCell ref="F23:G25"/>
    <mergeCell ref="H23:H25"/>
    <mergeCell ref="I23:I25"/>
    <mergeCell ref="F26:G28"/>
    <mergeCell ref="H26:H28"/>
    <mergeCell ref="J21:K22"/>
    <mergeCell ref="D21:D22"/>
    <mergeCell ref="C21:C22"/>
    <mergeCell ref="A21:A22"/>
    <mergeCell ref="A48:A49"/>
    <mergeCell ref="D2:J2"/>
    <mergeCell ref="D3:J3"/>
    <mergeCell ref="F21:G22"/>
    <mergeCell ref="A42:F42"/>
    <mergeCell ref="A44:A47"/>
    <mergeCell ref="H29:H32"/>
    <mergeCell ref="I29:I32"/>
    <mergeCell ref="I21:I22"/>
    <mergeCell ref="I26:I28"/>
    <mergeCell ref="F29:G32"/>
    <mergeCell ref="H21:H22"/>
    <mergeCell ref="A1:B2"/>
    <mergeCell ref="D1:J1"/>
    <mergeCell ref="H44:H47"/>
    <mergeCell ref="I44:I47"/>
    <mergeCell ref="A23:A24"/>
    <mergeCell ref="A26:A31"/>
    <mergeCell ref="A32:A36"/>
    <mergeCell ref="A37:A38"/>
    <mergeCell ref="H13:K13"/>
    <mergeCell ref="D4:J4"/>
    <mergeCell ref="H6:K6"/>
    <mergeCell ref="A20:D20"/>
    <mergeCell ref="H123:J123"/>
    <mergeCell ref="C188:D193"/>
    <mergeCell ref="A118:D118"/>
    <mergeCell ref="C119:D122"/>
    <mergeCell ref="H86:H87"/>
    <mergeCell ref="G90:G92"/>
    <mergeCell ref="G71:G72"/>
    <mergeCell ref="G75:G76"/>
    <mergeCell ref="K82:K115"/>
    <mergeCell ref="J44:J77"/>
    <mergeCell ref="H50:H68"/>
    <mergeCell ref="I50:I68"/>
    <mergeCell ref="H69:H74"/>
    <mergeCell ref="H75:H77"/>
    <mergeCell ref="I75:I77"/>
    <mergeCell ref="A123:D123"/>
    <mergeCell ref="G45:G47"/>
    <mergeCell ref="B83:B85"/>
    <mergeCell ref="G83:G85"/>
    <mergeCell ref="G52:G54"/>
    <mergeCell ref="H82:H85"/>
    <mergeCell ref="I82:I85"/>
    <mergeCell ref="J82:J115"/>
    <mergeCell ref="C81:D81"/>
    <mergeCell ref="A188:B188"/>
    <mergeCell ref="A144:B144"/>
    <mergeCell ref="A162:B162"/>
    <mergeCell ref="G109:G110"/>
    <mergeCell ref="A170:B170"/>
    <mergeCell ref="A137:B137"/>
    <mergeCell ref="A119:B119"/>
    <mergeCell ref="A107:A112"/>
    <mergeCell ref="B109:B110"/>
    <mergeCell ref="A113:A115"/>
    <mergeCell ref="B113:B114"/>
    <mergeCell ref="G113:G114"/>
    <mergeCell ref="A130:D130"/>
    <mergeCell ref="C144:D147"/>
    <mergeCell ref="A148:D148"/>
    <mergeCell ref="A155:D155"/>
    <mergeCell ref="C162:D167"/>
    <mergeCell ref="C137:D142"/>
    <mergeCell ref="C170:D173"/>
    <mergeCell ref="A174:D174"/>
    <mergeCell ref="A181:D181"/>
    <mergeCell ref="B64:B67"/>
    <mergeCell ref="G64:G67"/>
    <mergeCell ref="B102:B105"/>
    <mergeCell ref="G102:G105"/>
    <mergeCell ref="A86:A87"/>
    <mergeCell ref="B86:B87"/>
    <mergeCell ref="A88:A106"/>
    <mergeCell ref="B90:B92"/>
    <mergeCell ref="B93:B100"/>
    <mergeCell ref="A80:F80"/>
    <mergeCell ref="G93:G100"/>
    <mergeCell ref="A82:A85"/>
    <mergeCell ref="G86:G87"/>
    <mergeCell ref="B75:B76"/>
    <mergeCell ref="I88:I106"/>
    <mergeCell ref="H113:H115"/>
    <mergeCell ref="I113:I115"/>
    <mergeCell ref="H107:H112"/>
    <mergeCell ref="I69:I74"/>
    <mergeCell ref="A75:A77"/>
    <mergeCell ref="B71:B72"/>
    <mergeCell ref="A69:A74"/>
    <mergeCell ref="G80:K80"/>
    <mergeCell ref="I86:I87"/>
    <mergeCell ref="H88:H106"/>
    <mergeCell ref="I107:I112"/>
    <mergeCell ref="B88:B89"/>
    <mergeCell ref="G88:G89"/>
  </mergeCells>
  <conditionalFormatting sqref="A43:C43 I75:I76 L138:L144 L128:L134 B73:B74 J125:K125 A37 C61:D61 K123 B64:D64 C72:D72 A48:D48 F68 F65 F118:G119 A75:D75 I86 I107 H69:I69 I88:I89 H50:I51 H48:I48 L42:M46 H43:K46 G42 H78:K79 A81:C81 G80 I113:I114 A50:D50 C49:D49 B77:D77 D68 C65:D67 C91:D91 F39 I82:I84 A1 F14:F15 C19:M19 A119:A120 A40:A41 C40:M41 J21 J23 J26 J29 J33 F11:F12 D14:D15 L1:M4 A76 C76:D76 J12:K12 H6:H9 H14:H16 C18:D18 L17:M18 K7:K10 K14:K16 D11 E43:G43 E81:K81 L37:L39 A3:A19 C113:D114 C86:D87 F75:F77 F53 C1:D3 F91 B71:F71 B109:F109 B70 L106:L117 B108 B33:B34 B55:D56 M92:M105 E91:E92 F86:F87 L47:L77 L78:M91 C11:C17 C4:C9 F113:F115 M140:M165 M118:M123 F55:F56 B93:B95 A51 C51:D53 F48:F51 D106:D107 B57 D57 F106 C73 D93:D94">
    <cfRule type="beginsWith" dxfId="2106" priority="978" stopIfTrue="1" operator="beginsWith" text="Functioning At Risk">
      <formula>LEFT(A1,LEN("Functioning At Risk"))="Functioning At Risk"</formula>
    </cfRule>
    <cfRule type="beginsWith" dxfId="2105" priority="979" stopIfTrue="1" operator="beginsWith" text="Not Functioning">
      <formula>LEFT(A1,LEN("Not Functioning"))="Not Functioning"</formula>
    </cfRule>
    <cfRule type="containsText" dxfId="2104" priority="980" operator="containsText" text="Functioning">
      <formula>NOT(ISERROR(SEARCH("Functioning",A1)))</formula>
    </cfRule>
  </conditionalFormatting>
  <conditionalFormatting sqref="D6">
    <cfRule type="beginsWith" dxfId="2103" priority="951" stopIfTrue="1" operator="beginsWith" text="Functioning At Risk">
      <formula>LEFT(D6,LEN("Functioning At Risk"))="Functioning At Risk"</formula>
    </cfRule>
    <cfRule type="beginsWith" dxfId="2102" priority="952" stopIfTrue="1" operator="beginsWith" text="Not Functioning">
      <formula>LEFT(D6,LEN("Not Functioning"))="Not Functioning"</formula>
    </cfRule>
    <cfRule type="containsText" dxfId="2101" priority="953" operator="containsText" text="Functioning">
      <formula>NOT(ISERROR(SEARCH("Functioning",D6)))</formula>
    </cfRule>
  </conditionalFormatting>
  <conditionalFormatting sqref="D99">
    <cfRule type="beginsWith" dxfId="2100" priority="917" stopIfTrue="1" operator="beginsWith" text="Functioning At Risk">
      <formula>LEFT(D99,LEN("Functioning At Risk"))="Functioning At Risk"</formula>
    </cfRule>
    <cfRule type="beginsWith" dxfId="2099" priority="918" stopIfTrue="1" operator="beginsWith" text="Not Functioning">
      <formula>LEFT(D99,LEN("Not Functioning"))="Not Functioning"</formula>
    </cfRule>
    <cfRule type="containsText" dxfId="2098" priority="919" operator="containsText" text="Functioning">
      <formula>NOT(ISERROR(SEARCH("Functioning",D99)))</formula>
    </cfRule>
  </conditionalFormatting>
  <conditionalFormatting sqref="B37">
    <cfRule type="beginsWith" dxfId="2097" priority="870" stopIfTrue="1" operator="beginsWith" text="Functioning At Risk">
      <formula>LEFT(B37,LEN("Functioning At Risk"))="Functioning At Risk"</formula>
    </cfRule>
    <cfRule type="beginsWith" dxfId="2096" priority="871" stopIfTrue="1" operator="beginsWith" text="Not Functioning">
      <formula>LEFT(B37,LEN("Not Functioning"))="Not Functioning"</formula>
    </cfRule>
    <cfRule type="containsText" dxfId="2095" priority="872" operator="containsText" text="Functioning">
      <formula>NOT(ISERROR(SEARCH("Functioning",B37)))</formula>
    </cfRule>
  </conditionalFormatting>
  <conditionalFormatting sqref="C115:D115">
    <cfRule type="beginsWith" dxfId="2094" priority="861" stopIfTrue="1" operator="beginsWith" text="Functioning At Risk">
      <formula>LEFT(C115,LEN("Functioning At Risk"))="Functioning At Risk"</formula>
    </cfRule>
    <cfRule type="beginsWith" dxfId="2093" priority="862" stopIfTrue="1" operator="beginsWith" text="Not Functioning">
      <formula>LEFT(C115,LEN("Not Functioning"))="Not Functioning"</formula>
    </cfRule>
    <cfRule type="containsText" dxfId="2092" priority="863" operator="containsText" text="Functioning">
      <formula>NOT(ISERROR(SEARCH("Functioning",C115)))</formula>
    </cfRule>
  </conditionalFormatting>
  <conditionalFormatting sqref="B38">
    <cfRule type="beginsWith" dxfId="2091" priority="843" stopIfTrue="1" operator="beginsWith" text="Functioning At Risk">
      <formula>LEFT(B38,LEN("Functioning At Risk"))="Functioning At Risk"</formula>
    </cfRule>
    <cfRule type="beginsWith" dxfId="2090" priority="844" stopIfTrue="1" operator="beginsWith" text="Not Functioning">
      <formula>LEFT(B38,LEN("Not Functioning"))="Not Functioning"</formula>
    </cfRule>
    <cfRule type="containsText" dxfId="2089" priority="845" operator="containsText" text="Functioning">
      <formula>NOT(ISERROR(SEARCH("Functioning",B38)))</formula>
    </cfRule>
  </conditionalFormatting>
  <conditionalFormatting sqref="B52">
    <cfRule type="beginsWith" dxfId="2088" priority="840" stopIfTrue="1" operator="beginsWith" text="Functioning At Risk">
      <formula>LEFT(B52,LEN("Functioning At Risk"))="Functioning At Risk"</formula>
    </cfRule>
    <cfRule type="beginsWith" dxfId="2087" priority="841" stopIfTrue="1" operator="beginsWith" text="Not Functioning">
      <formula>LEFT(B52,LEN("Not Functioning"))="Not Functioning"</formula>
    </cfRule>
    <cfRule type="containsText" dxfId="2086" priority="842" operator="containsText" text="Functioning">
      <formula>NOT(ISERROR(SEARCH("Functioning",B52)))</formula>
    </cfRule>
  </conditionalFormatting>
  <conditionalFormatting sqref="C92:D92">
    <cfRule type="beginsWith" dxfId="2085" priority="837" stopIfTrue="1" operator="beginsWith" text="Functioning At Risk">
      <formula>LEFT(C92,LEN("Functioning At Risk"))="Functioning At Risk"</formula>
    </cfRule>
    <cfRule type="beginsWith" dxfId="2084" priority="838" stopIfTrue="1" operator="beginsWith" text="Not Functioning">
      <formula>LEFT(C92,LEN("Not Functioning"))="Not Functioning"</formula>
    </cfRule>
    <cfRule type="containsText" dxfId="2083" priority="839" operator="containsText" text="Functioning">
      <formula>NOT(ISERROR(SEARCH("Functioning",C92)))</formula>
    </cfRule>
  </conditionalFormatting>
  <conditionalFormatting sqref="B69:D69">
    <cfRule type="beginsWith" dxfId="2082" priority="810" stopIfTrue="1" operator="beginsWith" text="Functioning At Risk">
      <formula>LEFT(B69,LEN("Functioning At Risk"))="Functioning At Risk"</formula>
    </cfRule>
    <cfRule type="beginsWith" dxfId="2081" priority="811" stopIfTrue="1" operator="beginsWith" text="Not Functioning">
      <formula>LEFT(B69,LEN("Not Functioning"))="Not Functioning"</formula>
    </cfRule>
    <cfRule type="containsText" dxfId="2080" priority="812" operator="containsText" text="Functioning">
      <formula>NOT(ISERROR(SEARCH("Functioning",B69)))</formula>
    </cfRule>
  </conditionalFormatting>
  <conditionalFormatting sqref="A69">
    <cfRule type="beginsWith" dxfId="2079" priority="807" stopIfTrue="1" operator="beginsWith" text="Functioning At Risk">
      <formula>LEFT(A69,LEN("Functioning At Risk"))="Functioning At Risk"</formula>
    </cfRule>
    <cfRule type="beginsWith" dxfId="2078" priority="808" stopIfTrue="1" operator="beginsWith" text="Not Functioning">
      <formula>LEFT(A69,LEN("Not Functioning"))="Not Functioning"</formula>
    </cfRule>
    <cfRule type="containsText" dxfId="2077" priority="809" operator="containsText" text="Functioning">
      <formula>NOT(ISERROR(SEARCH("Functioning",A69)))</formula>
    </cfRule>
  </conditionalFormatting>
  <conditionalFormatting sqref="C110:D110">
    <cfRule type="beginsWith" dxfId="2076" priority="786" stopIfTrue="1" operator="beginsWith" text="Functioning At Risk">
      <formula>LEFT(C110,LEN("Functioning At Risk"))="Functioning At Risk"</formula>
    </cfRule>
    <cfRule type="beginsWith" dxfId="2075" priority="787" stopIfTrue="1" operator="beginsWith" text="Not Functioning">
      <formula>LEFT(C110,LEN("Not Functioning"))="Not Functioning"</formula>
    </cfRule>
    <cfRule type="containsText" dxfId="2074" priority="788" operator="containsText" text="Functioning">
      <formula>NOT(ISERROR(SEARCH("Functioning",C110)))</formula>
    </cfRule>
  </conditionalFormatting>
  <conditionalFormatting sqref="B36">
    <cfRule type="beginsWith" dxfId="2073" priority="747" stopIfTrue="1" operator="beginsWith" text="Functioning At Risk">
      <formula>LEFT(B36,LEN("Functioning At Risk"))="Functioning At Risk"</formula>
    </cfRule>
    <cfRule type="beginsWith" dxfId="2072" priority="748" stopIfTrue="1" operator="beginsWith" text="Not Functioning">
      <formula>LEFT(B36,LEN("Not Functioning"))="Not Functioning"</formula>
    </cfRule>
    <cfRule type="containsText" dxfId="2071" priority="749" operator="containsText" text="Functioning">
      <formula>NOT(ISERROR(SEARCH("Functioning",B36)))</formula>
    </cfRule>
  </conditionalFormatting>
  <conditionalFormatting sqref="B35">
    <cfRule type="beginsWith" dxfId="2070" priority="744" stopIfTrue="1" operator="beginsWith" text="Functioning At Risk">
      <formula>LEFT(B35,LEN("Functioning At Risk"))="Functioning At Risk"</formula>
    </cfRule>
    <cfRule type="beginsWith" dxfId="2069" priority="745" stopIfTrue="1" operator="beginsWith" text="Not Functioning">
      <formula>LEFT(B35,LEN("Not Functioning"))="Not Functioning"</formula>
    </cfRule>
    <cfRule type="containsText" dxfId="2068" priority="746" operator="containsText" text="Functioning">
      <formula>NOT(ISERROR(SEARCH("Functioning",B35)))</formula>
    </cfRule>
  </conditionalFormatting>
  <conditionalFormatting sqref="A32">
    <cfRule type="beginsWith" dxfId="2067" priority="735" stopIfTrue="1" operator="beginsWith" text="Functioning At Risk">
      <formula>LEFT(A32,LEN("Functioning At Risk"))="Functioning At Risk"</formula>
    </cfRule>
    <cfRule type="beginsWith" dxfId="2066" priority="736" stopIfTrue="1" operator="beginsWith" text="Not Functioning">
      <formula>LEFT(A32,LEN("Not Functioning"))="Not Functioning"</formula>
    </cfRule>
    <cfRule type="containsText" dxfId="2065" priority="737" operator="containsText" text="Functioning">
      <formula>NOT(ISERROR(SEARCH("Functioning",A32)))</formula>
    </cfRule>
  </conditionalFormatting>
  <conditionalFormatting sqref="D12">
    <cfRule type="beginsWith" dxfId="2064" priority="710" stopIfTrue="1" operator="beginsWith" text="Functioning At Risk">
      <formula>LEFT(D12,LEN("Functioning At Risk"))="Functioning At Risk"</formula>
    </cfRule>
    <cfRule type="beginsWith" dxfId="2063" priority="711" stopIfTrue="1" operator="beginsWith" text="Not Functioning">
      <formula>LEFT(D12,LEN("Not Functioning"))="Not Functioning"</formula>
    </cfRule>
    <cfRule type="containsText" dxfId="2062" priority="712" operator="containsText" text="Functioning">
      <formula>NOT(ISERROR(SEARCH("Functioning",D12)))</formula>
    </cfRule>
  </conditionalFormatting>
  <conditionalFormatting sqref="D58">
    <cfRule type="beginsWith" dxfId="2061" priority="685" stopIfTrue="1" operator="beginsWith" text="Functioning At Risk">
      <formula>LEFT(D58,LEN("Functioning At Risk"))="Functioning At Risk"</formula>
    </cfRule>
    <cfRule type="beginsWith" dxfId="2060" priority="686" stopIfTrue="1" operator="beginsWith" text="Not Functioning">
      <formula>LEFT(D58,LEN("Not Functioning"))="Not Functioning"</formula>
    </cfRule>
    <cfRule type="containsText" dxfId="2059" priority="687" operator="containsText" text="Functioning">
      <formula>NOT(ISERROR(SEARCH("Functioning",D58)))</formula>
    </cfRule>
  </conditionalFormatting>
  <conditionalFormatting sqref="C62:D62">
    <cfRule type="beginsWith" dxfId="2058" priority="682" stopIfTrue="1" operator="beginsWith" text="Functioning At Risk">
      <formula>LEFT(C62,LEN("Functioning At Risk"))="Functioning At Risk"</formula>
    </cfRule>
    <cfRule type="beginsWith" dxfId="2057" priority="683" stopIfTrue="1" operator="beginsWith" text="Not Functioning">
      <formula>LEFT(C62,LEN("Not Functioning"))="Not Functioning"</formula>
    </cfRule>
    <cfRule type="containsText" dxfId="2056" priority="684" operator="containsText" text="Functioning">
      <formula>NOT(ISERROR(SEARCH("Functioning",C62)))</formula>
    </cfRule>
  </conditionalFormatting>
  <conditionalFormatting sqref="D100">
    <cfRule type="beginsWith" dxfId="2055" priority="676" stopIfTrue="1" operator="beginsWith" text="Functioning At Risk">
      <formula>LEFT(D100,LEN("Functioning At Risk"))="Functioning At Risk"</formula>
    </cfRule>
    <cfRule type="beginsWith" dxfId="2054" priority="677" stopIfTrue="1" operator="beginsWith" text="Not Functioning">
      <formula>LEFT(D100,LEN("Not Functioning"))="Not Functioning"</formula>
    </cfRule>
    <cfRule type="containsText" dxfId="2053" priority="678" operator="containsText" text="Functioning">
      <formula>NOT(ISERROR(SEARCH("Functioning",D100)))</formula>
    </cfRule>
  </conditionalFormatting>
  <conditionalFormatting sqref="C90:D90">
    <cfRule type="beginsWith" dxfId="2052" priority="661" stopIfTrue="1" operator="beginsWith" text="Functioning At Risk">
      <formula>LEFT(C90,LEN("Functioning At Risk"))="Functioning At Risk"</formula>
    </cfRule>
    <cfRule type="beginsWith" dxfId="2051" priority="662" stopIfTrue="1" operator="beginsWith" text="Not Functioning">
      <formula>LEFT(C90,LEN("Not Functioning"))="Not Functioning"</formula>
    </cfRule>
    <cfRule type="containsText" dxfId="2050" priority="663" operator="containsText" text="Functioning">
      <formula>NOT(ISERROR(SEARCH("Functioning",C90)))</formula>
    </cfRule>
  </conditionalFormatting>
  <conditionalFormatting sqref="B111:B112 B102 A86:B86 A113:B113 A88:A89 B115 A114">
    <cfRule type="beginsWith" dxfId="2049" priority="639" stopIfTrue="1" operator="beginsWith" text="Functioning At Risk">
      <formula>LEFT(A86,LEN("Functioning At Risk"))="Functioning At Risk"</formula>
    </cfRule>
    <cfRule type="beginsWith" dxfId="2048" priority="640" stopIfTrue="1" operator="beginsWith" text="Not Functioning">
      <formula>LEFT(A86,LEN("Not Functioning"))="Not Functioning"</formula>
    </cfRule>
    <cfRule type="containsText" dxfId="2047" priority="641" operator="containsText" text="Functioning">
      <formula>NOT(ISERROR(SEARCH("Functioning",A86)))</formula>
    </cfRule>
  </conditionalFormatting>
  <conditionalFormatting sqref="B90">
    <cfRule type="beginsWith" dxfId="2046" priority="636" stopIfTrue="1" operator="beginsWith" text="Functioning At Risk">
      <formula>LEFT(B90,LEN("Functioning At Risk"))="Functioning At Risk"</formula>
    </cfRule>
    <cfRule type="beginsWith" dxfId="2045" priority="637" stopIfTrue="1" operator="beginsWith" text="Not Functioning">
      <formula>LEFT(B90,LEN("Not Functioning"))="Not Functioning"</formula>
    </cfRule>
    <cfRule type="containsText" dxfId="2044" priority="638" operator="containsText" text="Functioning">
      <formula>NOT(ISERROR(SEARCH("Functioning",B90)))</formula>
    </cfRule>
  </conditionalFormatting>
  <conditionalFormatting sqref="B107">
    <cfRule type="beginsWith" dxfId="2043" priority="633" stopIfTrue="1" operator="beginsWith" text="Functioning At Risk">
      <formula>LEFT(B107,LEN("Functioning At Risk"))="Functioning At Risk"</formula>
    </cfRule>
    <cfRule type="beginsWith" dxfId="2042" priority="634" stopIfTrue="1" operator="beginsWith" text="Not Functioning">
      <formula>LEFT(B107,LEN("Not Functioning"))="Not Functioning"</formula>
    </cfRule>
    <cfRule type="containsText" dxfId="2041" priority="635" operator="containsText" text="Functioning">
      <formula>NOT(ISERROR(SEARCH("Functioning",B107)))</formula>
    </cfRule>
  </conditionalFormatting>
  <conditionalFormatting sqref="A107">
    <cfRule type="beginsWith" dxfId="2040" priority="630" stopIfTrue="1" operator="beginsWith" text="Functioning At Risk">
      <formula>LEFT(A107,LEN("Functioning At Risk"))="Functioning At Risk"</formula>
    </cfRule>
    <cfRule type="beginsWith" dxfId="2039" priority="631" stopIfTrue="1" operator="beginsWith" text="Not Functioning">
      <formula>LEFT(A107,LEN("Not Functioning"))="Not Functioning"</formula>
    </cfRule>
    <cfRule type="containsText" dxfId="2038" priority="632" operator="containsText" text="Functioning">
      <formula>NOT(ISERROR(SEARCH("Functioning",A107)))</formula>
    </cfRule>
  </conditionalFormatting>
  <conditionalFormatting sqref="K82:K84">
    <cfRule type="beginsWith" dxfId="2037" priority="618" stopIfTrue="1" operator="beginsWith" text="Functioning At Risk">
      <formula>LEFT(K82,LEN("Functioning At Risk"))="Functioning At Risk"</formula>
    </cfRule>
    <cfRule type="beginsWith" dxfId="2036" priority="619" stopIfTrue="1" operator="beginsWith" text="Not Functioning">
      <formula>LEFT(K82,LEN("Not Functioning"))="Not Functioning"</formula>
    </cfRule>
    <cfRule type="containsText" dxfId="2035" priority="620" operator="containsText" text="Functioning">
      <formula>NOT(ISERROR(SEARCH("Functioning",K82)))</formula>
    </cfRule>
  </conditionalFormatting>
  <conditionalFormatting sqref="A128:A129">
    <cfRule type="beginsWith" dxfId="2034" priority="615" stopIfTrue="1" operator="beginsWith" text="Functioning At Risk">
      <formula>LEFT(A128,LEN("Functioning At Risk"))="Functioning At Risk"</formula>
    </cfRule>
    <cfRule type="beginsWith" dxfId="2033" priority="616" stopIfTrue="1" operator="beginsWith" text="Not Functioning">
      <formula>LEFT(A128,LEN("Not Functioning"))="Not Functioning"</formula>
    </cfRule>
    <cfRule type="containsText" dxfId="2032" priority="617" operator="containsText" text="Functioning">
      <formula>NOT(ISERROR(SEARCH("Functioning",A128)))</formula>
    </cfRule>
  </conditionalFormatting>
  <conditionalFormatting sqref="A135:A136">
    <cfRule type="beginsWith" dxfId="2031" priority="612" stopIfTrue="1" operator="beginsWith" text="Functioning At Risk">
      <formula>LEFT(A135,LEN("Functioning At Risk"))="Functioning At Risk"</formula>
    </cfRule>
    <cfRule type="beginsWith" dxfId="2030" priority="613" stopIfTrue="1" operator="beginsWith" text="Not Functioning">
      <formula>LEFT(A135,LEN("Not Functioning"))="Not Functioning"</formula>
    </cfRule>
    <cfRule type="containsText" dxfId="2029" priority="614" operator="containsText" text="Functioning">
      <formula>NOT(ISERROR(SEARCH("Functioning",A135)))</formula>
    </cfRule>
  </conditionalFormatting>
  <conditionalFormatting sqref="A186:A187">
    <cfRule type="beginsWith" dxfId="2028" priority="594" stopIfTrue="1" operator="beginsWith" text="Functioning At Risk">
      <formula>LEFT(A186,LEN("Functioning At Risk"))="Functioning At Risk"</formula>
    </cfRule>
    <cfRule type="beginsWith" dxfId="2027" priority="595" stopIfTrue="1" operator="beginsWith" text="Not Functioning">
      <formula>LEFT(A186,LEN("Not Functioning"))="Not Functioning"</formula>
    </cfRule>
    <cfRule type="containsText" dxfId="2026" priority="596" operator="containsText" text="Functioning">
      <formula>NOT(ISERROR(SEARCH("Functioning",A186)))</formula>
    </cfRule>
  </conditionalFormatting>
  <conditionalFormatting sqref="A144:A145">
    <cfRule type="beginsWith" dxfId="2025" priority="609" stopIfTrue="1" operator="beginsWith" text="Functioning At Risk">
      <formula>LEFT(A144,LEN("Functioning At Risk"))="Functioning At Risk"</formula>
    </cfRule>
    <cfRule type="beginsWith" dxfId="2024" priority="610" stopIfTrue="1" operator="beginsWith" text="Not Functioning">
      <formula>LEFT(A144,LEN("Not Functioning"))="Not Functioning"</formula>
    </cfRule>
    <cfRule type="containsText" dxfId="2023" priority="611" operator="containsText" text="Functioning">
      <formula>NOT(ISERROR(SEARCH("Functioning",A144)))</formula>
    </cfRule>
  </conditionalFormatting>
  <conditionalFormatting sqref="A153:A154">
    <cfRule type="beginsWith" dxfId="2022" priority="606" stopIfTrue="1" operator="beginsWith" text="Functioning At Risk">
      <formula>LEFT(A153,LEN("Functioning At Risk"))="Functioning At Risk"</formula>
    </cfRule>
    <cfRule type="beginsWith" dxfId="2021" priority="607" stopIfTrue="1" operator="beginsWith" text="Not Functioning">
      <formula>LEFT(A153,LEN("Not Functioning"))="Not Functioning"</formula>
    </cfRule>
    <cfRule type="containsText" dxfId="2020" priority="608" operator="containsText" text="Functioning">
      <formula>NOT(ISERROR(SEARCH("Functioning",A153)))</formula>
    </cfRule>
  </conditionalFormatting>
  <conditionalFormatting sqref="A160:A161">
    <cfRule type="beginsWith" dxfId="2019" priority="603" stopIfTrue="1" operator="beginsWith" text="Functioning At Risk">
      <formula>LEFT(A160,LEN("Functioning At Risk"))="Functioning At Risk"</formula>
    </cfRule>
    <cfRule type="beginsWith" dxfId="2018" priority="604" stopIfTrue="1" operator="beginsWith" text="Not Functioning">
      <formula>LEFT(A160,LEN("Not Functioning"))="Not Functioning"</formula>
    </cfRule>
    <cfRule type="containsText" dxfId="2017" priority="605" operator="containsText" text="Functioning">
      <formula>NOT(ISERROR(SEARCH("Functioning",A160)))</formula>
    </cfRule>
  </conditionalFormatting>
  <conditionalFormatting sqref="A170:A171">
    <cfRule type="beginsWith" dxfId="2016" priority="600" stopIfTrue="1" operator="beginsWith" text="Functioning At Risk">
      <formula>LEFT(A170,LEN("Functioning At Risk"))="Functioning At Risk"</formula>
    </cfRule>
    <cfRule type="beginsWith" dxfId="2015" priority="601" stopIfTrue="1" operator="beginsWith" text="Not Functioning">
      <formula>LEFT(A170,LEN("Not Functioning"))="Not Functioning"</formula>
    </cfRule>
    <cfRule type="containsText" dxfId="2014" priority="602" operator="containsText" text="Functioning">
      <formula>NOT(ISERROR(SEARCH("Functioning",A170)))</formula>
    </cfRule>
  </conditionalFormatting>
  <conditionalFormatting sqref="A179:A180">
    <cfRule type="beginsWith" dxfId="2013" priority="597" stopIfTrue="1" operator="beginsWith" text="Functioning At Risk">
      <formula>LEFT(A179,LEN("Functioning At Risk"))="Functioning At Risk"</formula>
    </cfRule>
    <cfRule type="beginsWith" dxfId="2012" priority="598" stopIfTrue="1" operator="beginsWith" text="Not Functioning">
      <formula>LEFT(A179,LEN("Not Functioning"))="Not Functioning"</formula>
    </cfRule>
    <cfRule type="containsText" dxfId="2011" priority="599" operator="containsText" text="Functioning">
      <formula>NOT(ISERROR(SEARCH("Functioning",A179)))</formula>
    </cfRule>
  </conditionalFormatting>
  <conditionalFormatting sqref="A178">
    <cfRule type="beginsWith" dxfId="2010" priority="588" stopIfTrue="1" operator="beginsWith" text="Functioning At Risk">
      <formula>LEFT(A178,LEN("Functioning At Risk"))="Functioning At Risk"</formula>
    </cfRule>
    <cfRule type="beginsWith" dxfId="2009" priority="589" stopIfTrue="1" operator="beginsWith" text="Not Functioning">
      <formula>LEFT(A178,LEN("Not Functioning"))="Not Functioning"</formula>
    </cfRule>
    <cfRule type="containsText" dxfId="2008" priority="590" operator="containsText" text="Functioning">
      <formula>NOT(ISERROR(SEARCH("Functioning",A178)))</formula>
    </cfRule>
  </conditionalFormatting>
  <conditionalFormatting sqref="A177">
    <cfRule type="beginsWith" dxfId="2007" priority="585" stopIfTrue="1" operator="beginsWith" text="Functioning At Risk">
      <formula>LEFT(A177,LEN("Functioning At Risk"))="Functioning At Risk"</formula>
    </cfRule>
    <cfRule type="beginsWith" dxfId="2006" priority="586" stopIfTrue="1" operator="beginsWith" text="Not Functioning">
      <formula>LEFT(A177,LEN("Not Functioning"))="Not Functioning"</formula>
    </cfRule>
    <cfRule type="containsText" dxfId="2005" priority="587" operator="containsText" text="Functioning">
      <formula>NOT(ISERROR(SEARCH("Functioning",A177)))</formula>
    </cfRule>
  </conditionalFormatting>
  <conditionalFormatting sqref="A185">
    <cfRule type="beginsWith" dxfId="2004" priority="579" stopIfTrue="1" operator="beginsWith" text="Functioning At Risk">
      <formula>LEFT(A185,LEN("Functioning At Risk"))="Functioning At Risk"</formula>
    </cfRule>
    <cfRule type="beginsWith" dxfId="2003" priority="580" stopIfTrue="1" operator="beginsWith" text="Not Functioning">
      <formula>LEFT(A185,LEN("Not Functioning"))="Not Functioning"</formula>
    </cfRule>
    <cfRule type="containsText" dxfId="2002" priority="581" operator="containsText" text="Functioning">
      <formula>NOT(ISERROR(SEARCH("Functioning",A185)))</formula>
    </cfRule>
  </conditionalFormatting>
  <conditionalFormatting sqref="A184">
    <cfRule type="beginsWith" dxfId="2001" priority="576" stopIfTrue="1" operator="beginsWith" text="Functioning At Risk">
      <formula>LEFT(A184,LEN("Functioning At Risk"))="Functioning At Risk"</formula>
    </cfRule>
    <cfRule type="beginsWith" dxfId="2000" priority="577" stopIfTrue="1" operator="beginsWith" text="Not Functioning">
      <formula>LEFT(A184,LEN("Not Functioning"))="Not Functioning"</formula>
    </cfRule>
    <cfRule type="containsText" dxfId="1999" priority="578" operator="containsText" text="Functioning">
      <formula>NOT(ISERROR(SEARCH("Functioning",A184)))</formula>
    </cfRule>
  </conditionalFormatting>
  <conditionalFormatting sqref="A159">
    <cfRule type="beginsWith" dxfId="1998" priority="570" stopIfTrue="1" operator="beginsWith" text="Functioning At Risk">
      <formula>LEFT(A159,LEN("Functioning At Risk"))="Functioning At Risk"</formula>
    </cfRule>
    <cfRule type="beginsWith" dxfId="1997" priority="571" stopIfTrue="1" operator="beginsWith" text="Not Functioning">
      <formula>LEFT(A159,LEN("Not Functioning"))="Not Functioning"</formula>
    </cfRule>
    <cfRule type="containsText" dxfId="1996" priority="572" operator="containsText" text="Functioning">
      <formula>NOT(ISERROR(SEARCH("Functioning",A159)))</formula>
    </cfRule>
  </conditionalFormatting>
  <conditionalFormatting sqref="A158">
    <cfRule type="beginsWith" dxfId="1995" priority="567" stopIfTrue="1" operator="beginsWith" text="Functioning At Risk">
      <formula>LEFT(A158,LEN("Functioning At Risk"))="Functioning At Risk"</formula>
    </cfRule>
    <cfRule type="beginsWith" dxfId="1994" priority="568" stopIfTrue="1" operator="beginsWith" text="Not Functioning">
      <formula>LEFT(A158,LEN("Not Functioning"))="Not Functioning"</formula>
    </cfRule>
    <cfRule type="containsText" dxfId="1993" priority="569" operator="containsText" text="Functioning">
      <formula>NOT(ISERROR(SEARCH("Functioning",A158)))</formula>
    </cfRule>
  </conditionalFormatting>
  <conditionalFormatting sqref="A152">
    <cfRule type="beginsWith" dxfId="1992" priority="561" stopIfTrue="1" operator="beginsWith" text="Functioning At Risk">
      <formula>LEFT(A152,LEN("Functioning At Risk"))="Functioning At Risk"</formula>
    </cfRule>
    <cfRule type="beginsWith" dxfId="1991" priority="562" stopIfTrue="1" operator="beginsWith" text="Not Functioning">
      <formula>LEFT(A152,LEN("Not Functioning"))="Not Functioning"</formula>
    </cfRule>
    <cfRule type="containsText" dxfId="1990" priority="563" operator="containsText" text="Functioning">
      <formula>NOT(ISERROR(SEARCH("Functioning",A152)))</formula>
    </cfRule>
  </conditionalFormatting>
  <conditionalFormatting sqref="A151">
    <cfRule type="beginsWith" dxfId="1989" priority="558" stopIfTrue="1" operator="beginsWith" text="Functioning At Risk">
      <formula>LEFT(A151,LEN("Functioning At Risk"))="Functioning At Risk"</formula>
    </cfRule>
    <cfRule type="beginsWith" dxfId="1988" priority="559" stopIfTrue="1" operator="beginsWith" text="Not Functioning">
      <formula>LEFT(A151,LEN("Not Functioning"))="Not Functioning"</formula>
    </cfRule>
    <cfRule type="containsText" dxfId="1987" priority="560" operator="containsText" text="Functioning">
      <formula>NOT(ISERROR(SEARCH("Functioning",A151)))</formula>
    </cfRule>
  </conditionalFormatting>
  <conditionalFormatting sqref="A134">
    <cfRule type="beginsWith" dxfId="1986" priority="552" stopIfTrue="1" operator="beginsWith" text="Functioning At Risk">
      <formula>LEFT(A134,LEN("Functioning At Risk"))="Functioning At Risk"</formula>
    </cfRule>
    <cfRule type="beginsWith" dxfId="1985" priority="553" stopIfTrue="1" operator="beginsWith" text="Not Functioning">
      <formula>LEFT(A134,LEN("Not Functioning"))="Not Functioning"</formula>
    </cfRule>
    <cfRule type="containsText" dxfId="1984" priority="554" operator="containsText" text="Functioning">
      <formula>NOT(ISERROR(SEARCH("Functioning",A134)))</formula>
    </cfRule>
  </conditionalFormatting>
  <conditionalFormatting sqref="A133">
    <cfRule type="beginsWith" dxfId="1983" priority="549" stopIfTrue="1" operator="beginsWith" text="Functioning At Risk">
      <formula>LEFT(A133,LEN("Functioning At Risk"))="Functioning At Risk"</formula>
    </cfRule>
    <cfRule type="beginsWith" dxfId="1982" priority="550" stopIfTrue="1" operator="beginsWith" text="Not Functioning">
      <formula>LEFT(A133,LEN("Not Functioning"))="Not Functioning"</formula>
    </cfRule>
    <cfRule type="containsText" dxfId="1981" priority="551" operator="containsText" text="Functioning">
      <formula>NOT(ISERROR(SEARCH("Functioning",A133)))</formula>
    </cfRule>
  </conditionalFormatting>
  <conditionalFormatting sqref="A127">
    <cfRule type="beginsWith" dxfId="1980" priority="543" stopIfTrue="1" operator="beginsWith" text="Functioning At Risk">
      <formula>LEFT(A127,LEN("Functioning At Risk"))="Functioning At Risk"</formula>
    </cfRule>
    <cfRule type="beginsWith" dxfId="1979" priority="544" stopIfTrue="1" operator="beginsWith" text="Not Functioning">
      <formula>LEFT(A127,LEN("Not Functioning"))="Not Functioning"</formula>
    </cfRule>
    <cfRule type="containsText" dxfId="1978" priority="545" operator="containsText" text="Functioning">
      <formula>NOT(ISERROR(SEARCH("Functioning",A127)))</formula>
    </cfRule>
  </conditionalFormatting>
  <conditionalFormatting sqref="A126">
    <cfRule type="beginsWith" dxfId="1977" priority="540" stopIfTrue="1" operator="beginsWith" text="Functioning At Risk">
      <formula>LEFT(A126,LEN("Functioning At Risk"))="Functioning At Risk"</formula>
    </cfRule>
    <cfRule type="beginsWith" dxfId="1976" priority="541" stopIfTrue="1" operator="beginsWith" text="Not Functioning">
      <formula>LEFT(A126,LEN("Not Functioning"))="Not Functioning"</formula>
    </cfRule>
    <cfRule type="containsText" dxfId="1975" priority="542" operator="containsText" text="Functioning">
      <formula>NOT(ISERROR(SEARCH("Functioning",A126)))</formula>
    </cfRule>
  </conditionalFormatting>
  <conditionalFormatting sqref="F20">
    <cfRule type="beginsWith" dxfId="1974" priority="537" stopIfTrue="1" operator="beginsWith" text="Functioning At Risk">
      <formula>LEFT(F20,LEN("Functioning At Risk"))="Functioning At Risk"</formula>
    </cfRule>
    <cfRule type="beginsWith" dxfId="1973" priority="538" stopIfTrue="1" operator="beginsWith" text="Not Functioning">
      <formula>LEFT(F20,LEN("Not Functioning"))="Not Functioning"</formula>
    </cfRule>
    <cfRule type="containsText" dxfId="1972" priority="539" operator="containsText" text="Functioning">
      <formula>NOT(ISERROR(SEARCH("Functioning",F20)))</formula>
    </cfRule>
  </conditionalFormatting>
  <conditionalFormatting sqref="F33">
    <cfRule type="beginsWith" dxfId="1971" priority="528" stopIfTrue="1" operator="beginsWith" text="Functioning At Risk">
      <formula>LEFT(F33,LEN("Functioning At Risk"))="Functioning At Risk"</formula>
    </cfRule>
    <cfRule type="beginsWith" dxfId="1970" priority="529" stopIfTrue="1" operator="beginsWith" text="Not Functioning">
      <formula>LEFT(F33,LEN("Not Functioning"))="Not Functioning"</formula>
    </cfRule>
    <cfRule type="containsText" dxfId="1969" priority="530" operator="containsText" text="Functioning">
      <formula>NOT(ISERROR(SEARCH("Functioning",F33)))</formula>
    </cfRule>
  </conditionalFormatting>
  <conditionalFormatting sqref="F29:F30">
    <cfRule type="beginsWith" dxfId="1968" priority="525" stopIfTrue="1" operator="beginsWith" text="Functioning At Risk">
      <formula>LEFT(F29,LEN("Functioning At Risk"))="Functioning At Risk"</formula>
    </cfRule>
    <cfRule type="beginsWith" dxfId="1967" priority="526" stopIfTrue="1" operator="beginsWith" text="Not Functioning">
      <formula>LEFT(F29,LEN("Not Functioning"))="Not Functioning"</formula>
    </cfRule>
    <cfRule type="containsText" dxfId="1966" priority="527" operator="containsText" text="Functioning">
      <formula>NOT(ISERROR(SEARCH("Functioning",F29)))</formula>
    </cfRule>
  </conditionalFormatting>
  <conditionalFormatting sqref="F26">
    <cfRule type="beginsWith" dxfId="1965" priority="522" stopIfTrue="1" operator="beginsWith" text="Functioning At Risk">
      <formula>LEFT(F26,LEN("Functioning At Risk"))="Functioning At Risk"</formula>
    </cfRule>
    <cfRule type="beginsWith" dxfId="1964" priority="523" stopIfTrue="1" operator="beginsWith" text="Not Functioning">
      <formula>LEFT(F26,LEN("Not Functioning"))="Not Functioning"</formula>
    </cfRule>
    <cfRule type="containsText" dxfId="1963" priority="524" operator="containsText" text="Functioning">
      <formula>NOT(ISERROR(SEARCH("Functioning",F26)))</formula>
    </cfRule>
  </conditionalFormatting>
  <conditionalFormatting sqref="H23:I33 C23:D38">
    <cfRule type="cellIs" dxfId="1962" priority="923" operator="between">
      <formula>0</formula>
      <formula>0.299999</formula>
    </cfRule>
    <cfRule type="cellIs" dxfId="1961" priority="925" operator="between">
      <formula>0.6999999</formula>
      <formula>0.3</formula>
    </cfRule>
    <cfRule type="cellIs" dxfId="1960" priority="926" operator="between">
      <formula>0.7</formula>
      <formula>1</formula>
    </cfRule>
  </conditionalFormatting>
  <conditionalFormatting sqref="D101">
    <cfRule type="beginsWith" dxfId="1959" priority="519" stopIfTrue="1" operator="beginsWith" text="Functioning At Risk">
      <formula>LEFT(D101,LEN("Functioning At Risk"))="Functioning At Risk"</formula>
    </cfRule>
    <cfRule type="beginsWith" dxfId="1958" priority="520" stopIfTrue="1" operator="beginsWith" text="Not Functioning">
      <formula>LEFT(D101,LEN("Not Functioning"))="Not Functioning"</formula>
    </cfRule>
    <cfRule type="containsText" dxfId="1957" priority="521" operator="containsText" text="Functioning">
      <formula>NOT(ISERROR(SEARCH("Functioning",D101)))</formula>
    </cfRule>
  </conditionalFormatting>
  <conditionalFormatting sqref="C63:D63">
    <cfRule type="beginsWith" dxfId="1956" priority="516" stopIfTrue="1" operator="beginsWith" text="Functioning At Risk">
      <formula>LEFT(C63,LEN("Functioning At Risk"))="Functioning At Risk"</formula>
    </cfRule>
    <cfRule type="beginsWith" dxfId="1955" priority="517" stopIfTrue="1" operator="beginsWith" text="Not Functioning">
      <formula>LEFT(C63,LEN("Not Functioning"))="Not Functioning"</formula>
    </cfRule>
    <cfRule type="containsText" dxfId="1954" priority="518" operator="containsText" text="Functioning">
      <formula>NOT(ISERROR(SEARCH("Functioning",C63)))</formula>
    </cfRule>
  </conditionalFormatting>
  <conditionalFormatting sqref="B128">
    <cfRule type="beginsWith" dxfId="1953" priority="510" stopIfTrue="1" operator="beginsWith" text="Functioning At Risk">
      <formula>LEFT(B128,LEN("Functioning At Risk"))="Functioning At Risk"</formula>
    </cfRule>
    <cfRule type="beginsWith" dxfId="1952" priority="511" stopIfTrue="1" operator="beginsWith" text="Not Functioning">
      <formula>LEFT(B128,LEN("Not Functioning"))="Not Functioning"</formula>
    </cfRule>
    <cfRule type="containsText" dxfId="1951" priority="512" operator="containsText" text="Functioning">
      <formula>NOT(ISERROR(SEARCH("Functioning",B128)))</formula>
    </cfRule>
  </conditionalFormatting>
  <conditionalFormatting sqref="D16">
    <cfRule type="beginsWith" dxfId="1950" priority="492" stopIfTrue="1" operator="beginsWith" text="Functioning At Risk">
      <formula>LEFT(D16,LEN("Functioning At Risk"))="Functioning At Risk"</formula>
    </cfRule>
    <cfRule type="beginsWith" dxfId="1949" priority="493" stopIfTrue="1" operator="beginsWith" text="Not Functioning">
      <formula>LEFT(D16,LEN("Not Functioning"))="Not Functioning"</formula>
    </cfRule>
    <cfRule type="containsText" dxfId="1948" priority="494" operator="containsText" text="Functioning">
      <formula>NOT(ISERROR(SEARCH("Functioning",D16)))</formula>
    </cfRule>
  </conditionalFormatting>
  <conditionalFormatting sqref="H13">
    <cfRule type="beginsWith" dxfId="1947" priority="426" stopIfTrue="1" operator="beginsWith" text="Functioning At Risk">
      <formula>LEFT(H13,LEN("Functioning At Risk"))="Functioning At Risk"</formula>
    </cfRule>
    <cfRule type="beginsWith" dxfId="1946" priority="427" stopIfTrue="1" operator="beginsWith" text="Not Functioning">
      <formula>LEFT(H13,LEN("Not Functioning"))="Not Functioning"</formula>
    </cfRule>
    <cfRule type="containsText" dxfId="1945" priority="428" operator="containsText" text="Functioning">
      <formula>NOT(ISERROR(SEARCH("Functioning",H13)))</formula>
    </cfRule>
  </conditionalFormatting>
  <conditionalFormatting sqref="K17">
    <cfRule type="beginsWith" dxfId="1944" priority="423" stopIfTrue="1" operator="beginsWith" text="Functioning At Risk">
      <formula>LEFT(K17,LEN("Functioning At Risk"))="Functioning At Risk"</formula>
    </cfRule>
    <cfRule type="beginsWith" dxfId="1943" priority="424" stopIfTrue="1" operator="beginsWith" text="Not Functioning">
      <formula>LEFT(K17,LEN("Not Functioning"))="Not Functioning"</formula>
    </cfRule>
    <cfRule type="containsText" dxfId="1942" priority="425" operator="containsText" text="Functioning">
      <formula>NOT(ISERROR(SEARCH("Functioning",K17)))</formula>
    </cfRule>
  </conditionalFormatting>
  <conditionalFormatting sqref="D17 F17">
    <cfRule type="beginsWith" dxfId="1941" priority="420" stopIfTrue="1" operator="beginsWith" text="Functioning At Risk">
      <formula>LEFT(D17,LEN("Functioning At Risk"))="Functioning At Risk"</formula>
    </cfRule>
    <cfRule type="beginsWith" dxfId="1940" priority="421" stopIfTrue="1" operator="beginsWith" text="Not Functioning">
      <formula>LEFT(D17,LEN("Not Functioning"))="Not Functioning"</formula>
    </cfRule>
    <cfRule type="containsText" dxfId="1939" priority="422" operator="containsText" text="Functioning">
      <formula>NOT(ISERROR(SEARCH("Functioning",D17)))</formula>
    </cfRule>
  </conditionalFormatting>
  <conditionalFormatting sqref="F93:F94">
    <cfRule type="beginsWith" dxfId="1938" priority="417" stopIfTrue="1" operator="beginsWith" text="Functioning At Risk">
      <formula>LEFT(F93,LEN("Functioning At Risk"))="Functioning At Risk"</formula>
    </cfRule>
    <cfRule type="beginsWith" dxfId="1937" priority="418" stopIfTrue="1" operator="beginsWith" text="Not Functioning">
      <formula>LEFT(F93,LEN("Not Functioning"))="Not Functioning"</formula>
    </cfRule>
    <cfRule type="containsText" dxfId="1936" priority="419" operator="containsText" text="Functioning">
      <formula>NOT(ISERROR(SEARCH("Functioning",F93)))</formula>
    </cfRule>
  </conditionalFormatting>
  <conditionalFormatting sqref="B14:B16 B3:B11">
    <cfRule type="beginsWith" dxfId="1935" priority="321" stopIfTrue="1" operator="beginsWith" text="Functioning At Risk">
      <formula>LEFT(B3,LEN("Functioning At Risk"))="Functioning At Risk"</formula>
    </cfRule>
    <cfRule type="beginsWith" dxfId="1934" priority="322" stopIfTrue="1" operator="beginsWith" text="Not Functioning">
      <formula>LEFT(B3,LEN("Not Functioning"))="Not Functioning"</formula>
    </cfRule>
    <cfRule type="containsText" dxfId="1933" priority="323" operator="containsText" text="Functioning">
      <formula>NOT(ISERROR(SEARCH("Functioning",B3)))</formula>
    </cfRule>
  </conditionalFormatting>
  <conditionalFormatting sqref="B12:B13">
    <cfRule type="beginsWith" dxfId="1932" priority="318" stopIfTrue="1" operator="beginsWith" text="Functioning At Risk">
      <formula>LEFT(B12,LEN("Functioning At Risk"))="Functioning At Risk"</formula>
    </cfRule>
    <cfRule type="beginsWith" dxfId="1931" priority="319" stopIfTrue="1" operator="beginsWith" text="Not Functioning">
      <formula>LEFT(B12,LEN("Not Functioning"))="Not Functioning"</formula>
    </cfRule>
    <cfRule type="containsText" dxfId="1930" priority="320" operator="containsText" text="Functioning">
      <formula>NOT(ISERROR(SEARCH("Functioning",B12)))</formula>
    </cfRule>
  </conditionalFormatting>
  <conditionalFormatting sqref="E90">
    <cfRule type="beginsWith" dxfId="1929" priority="263" stopIfTrue="1" operator="beginsWith" text="Functioning At Risk">
      <formula>LEFT(E90,LEN("Functioning At Risk"))="Functioning At Risk"</formula>
    </cfRule>
    <cfRule type="beginsWith" dxfId="1928" priority="264" stopIfTrue="1" operator="beginsWith" text="Not Functioning">
      <formula>LEFT(E90,LEN("Not Functioning"))="Not Functioning"</formula>
    </cfRule>
    <cfRule type="containsText" dxfId="1927" priority="265" operator="containsText" text="Functioning">
      <formula>NOT(ISERROR(SEARCH("Functioning",E90)))</formula>
    </cfRule>
  </conditionalFormatting>
  <conditionalFormatting sqref="E113:E114 E86:E87 E106:E107">
    <cfRule type="beginsWith" dxfId="1926" priority="285" stopIfTrue="1" operator="beginsWith" text="Functioning At Risk">
      <formula>LEFT(E86,LEN("Functioning At Risk"))="Functioning At Risk"</formula>
    </cfRule>
    <cfRule type="beginsWith" dxfId="1925" priority="286" stopIfTrue="1" operator="beginsWith" text="Not Functioning">
      <formula>LEFT(E86,LEN("Not Functioning"))="Not Functioning"</formula>
    </cfRule>
    <cfRule type="containsText" dxfId="1924" priority="287" operator="containsText" text="Functioning">
      <formula>NOT(ISERROR(SEARCH("Functioning",E86)))</formula>
    </cfRule>
  </conditionalFormatting>
  <conditionalFormatting sqref="E109">
    <cfRule type="expression" dxfId="1923" priority="279">
      <formula>B6="Level 5 - Biology"</formula>
    </cfRule>
    <cfRule type="expression" dxfId="1922" priority="282">
      <formula>B6="Level 4 - Physicochemical"</formula>
    </cfRule>
  </conditionalFormatting>
  <conditionalFormatting sqref="E113:E114">
    <cfRule type="expression" dxfId="1921" priority="278">
      <formula>B6="Level 5 - Biology"</formula>
    </cfRule>
  </conditionalFormatting>
  <conditionalFormatting sqref="E115">
    <cfRule type="beginsWith" dxfId="1920" priority="275" stopIfTrue="1" operator="beginsWith" text="Functioning At Risk">
      <formula>LEFT(E115,LEN("Functioning At Risk"))="Functioning At Risk"</formula>
    </cfRule>
    <cfRule type="beginsWith" dxfId="1919" priority="276" stopIfTrue="1" operator="beginsWith" text="Not Functioning">
      <formula>LEFT(E115,LEN("Not Functioning"))="Not Functioning"</formula>
    </cfRule>
    <cfRule type="containsText" dxfId="1918" priority="277" operator="containsText" text="Functioning">
      <formula>NOT(ISERROR(SEARCH("Functioning",E115)))</formula>
    </cfRule>
  </conditionalFormatting>
  <conditionalFormatting sqref="E107">
    <cfRule type="expression" dxfId="1917" priority="269">
      <formula>B6="Level 4 - Physicochemical"</formula>
    </cfRule>
    <cfRule type="expression" dxfId="1916" priority="274">
      <formula>B6="Level 5 - Biology"</formula>
    </cfRule>
  </conditionalFormatting>
  <conditionalFormatting sqref="E110">
    <cfRule type="expression" dxfId="1915" priority="268">
      <formula>B6="Level 4 - Physicochemical"</formula>
    </cfRule>
    <cfRule type="expression" dxfId="1914" priority="273">
      <formula>B6="Level 5 - Biology"</formula>
    </cfRule>
  </conditionalFormatting>
  <conditionalFormatting sqref="E111">
    <cfRule type="expression" dxfId="1913" priority="267">
      <formula>B6="Level 4 - Physicochemical"</formula>
    </cfRule>
    <cfRule type="expression" dxfId="1912" priority="272">
      <formula>B6="Level 5 - Biology"</formula>
    </cfRule>
  </conditionalFormatting>
  <conditionalFormatting sqref="E112">
    <cfRule type="expression" dxfId="1911" priority="266">
      <formula>B6="Level 4 - Physicochemical"</formula>
    </cfRule>
    <cfRule type="expression" dxfId="1910" priority="271">
      <formula>B6="Level 5 - Biology"</formula>
    </cfRule>
  </conditionalFormatting>
  <conditionalFormatting sqref="E115">
    <cfRule type="expression" dxfId="1909" priority="270">
      <formula>B6="Level 5 - Biology"</formula>
    </cfRule>
  </conditionalFormatting>
  <conditionalFormatting sqref="E108">
    <cfRule type="expression" dxfId="1908" priority="258">
      <formula>B6="Level 5 - Biology"</formula>
    </cfRule>
    <cfRule type="expression" dxfId="1907" priority="259">
      <formula>B6="Level 4 - Physicochemical"</formula>
    </cfRule>
    <cfRule type="beginsWith" dxfId="1906" priority="260" stopIfTrue="1" operator="beginsWith" text="Functioning At Risk">
      <formula>LEFT(E108,LEN("Functioning At Risk"))="Functioning At Risk"</formula>
    </cfRule>
    <cfRule type="beginsWith" dxfId="1905" priority="261" stopIfTrue="1" operator="beginsWith" text="Not Functioning">
      <formula>LEFT(E108,LEN("Not Functioning"))="Not Functioning"</formula>
    </cfRule>
    <cfRule type="containsText" dxfId="1904" priority="262" operator="containsText" text="Functioning">
      <formula>NOT(ISERROR(SEARCH("Functioning",E108)))</formula>
    </cfRule>
  </conditionalFormatting>
  <conditionalFormatting sqref="E61 E75:E76 E48:E51 E64:E69 E53:E57">
    <cfRule type="beginsWith" dxfId="1903" priority="249" stopIfTrue="1" operator="beginsWith" text="Functioning At Risk">
      <formula>LEFT(E48,LEN("Functioning At Risk"))="Functioning At Risk"</formula>
    </cfRule>
    <cfRule type="beginsWith" dxfId="1902" priority="250" stopIfTrue="1" operator="beginsWith" text="Not Functioning">
      <formula>LEFT(E48,LEN("Not Functioning"))="Not Functioning"</formula>
    </cfRule>
    <cfRule type="containsText" dxfId="1901" priority="251" operator="containsText" text="Functioning">
      <formula>NOT(ISERROR(SEARCH("Functioning",E48)))</formula>
    </cfRule>
  </conditionalFormatting>
  <conditionalFormatting sqref="E71">
    <cfRule type="expression" dxfId="1900" priority="243">
      <formula>B1048542="Level 5 - Biology"</formula>
    </cfRule>
    <cfRule type="expression" dxfId="1899" priority="246">
      <formula>B1048542="Level 4 - Physicochemical"</formula>
    </cfRule>
  </conditionalFormatting>
  <conditionalFormatting sqref="E75:E76">
    <cfRule type="expression" dxfId="1898" priority="242">
      <formula>B1048542="Level 5 - Biology"</formula>
    </cfRule>
  </conditionalFormatting>
  <conditionalFormatting sqref="E77">
    <cfRule type="beginsWith" dxfId="1897" priority="239" stopIfTrue="1" operator="beginsWith" text="Functioning At Risk">
      <formula>LEFT(E77,LEN("Functioning At Risk"))="Functioning At Risk"</formula>
    </cfRule>
    <cfRule type="beginsWith" dxfId="1896" priority="240" stopIfTrue="1" operator="beginsWith" text="Not Functioning">
      <formula>LEFT(E77,LEN("Not Functioning"))="Not Functioning"</formula>
    </cfRule>
    <cfRule type="containsText" dxfId="1895" priority="241" operator="containsText" text="Functioning">
      <formula>NOT(ISERROR(SEARCH("Functioning",E77)))</formula>
    </cfRule>
  </conditionalFormatting>
  <conditionalFormatting sqref="E69">
    <cfRule type="expression" dxfId="1894" priority="233">
      <formula>B1048542="Level 4 - Physicochemical"</formula>
    </cfRule>
    <cfRule type="expression" dxfId="1893" priority="238">
      <formula>B1048542="Level 5 - Biology"</formula>
    </cfRule>
  </conditionalFormatting>
  <conditionalFormatting sqref="E72">
    <cfRule type="expression" dxfId="1892" priority="232">
      <formula>B1048542="Level 4 - Physicochemical"</formula>
    </cfRule>
    <cfRule type="expression" dxfId="1891" priority="237">
      <formula>B1048542="Level 5 - Biology"</formula>
    </cfRule>
  </conditionalFormatting>
  <conditionalFormatting sqref="E73">
    <cfRule type="expression" dxfId="1890" priority="231">
      <formula>B1048542="Level 4 - Physicochemical"</formula>
    </cfRule>
    <cfRule type="expression" dxfId="1889" priority="236">
      <formula>B1048542="Level 5 - Biology"</formula>
    </cfRule>
  </conditionalFormatting>
  <conditionalFormatting sqref="E74">
    <cfRule type="expression" dxfId="1888" priority="230">
      <formula>B1048542="Level 4 - Physicochemical"</formula>
    </cfRule>
    <cfRule type="expression" dxfId="1887" priority="235">
      <formula>B1048542="Level 5 - Biology"</formula>
    </cfRule>
  </conditionalFormatting>
  <conditionalFormatting sqref="E77">
    <cfRule type="expression" dxfId="1886" priority="234">
      <formula>B1048542="Level 5 - Biology"</formula>
    </cfRule>
  </conditionalFormatting>
  <conditionalFormatting sqref="E52">
    <cfRule type="beginsWith" dxfId="1885" priority="227" stopIfTrue="1" operator="beginsWith" text="Functioning At Risk">
      <formula>LEFT(E52,LEN("Functioning At Risk"))="Functioning At Risk"</formula>
    </cfRule>
    <cfRule type="beginsWith" dxfId="1884" priority="228" stopIfTrue="1" operator="beginsWith" text="Not Functioning">
      <formula>LEFT(E52,LEN("Not Functioning"))="Not Functioning"</formula>
    </cfRule>
    <cfRule type="containsText" dxfId="1883" priority="229" operator="containsText" text="Functioning">
      <formula>NOT(ISERROR(SEARCH("Functioning",E52)))</formula>
    </cfRule>
  </conditionalFormatting>
  <conditionalFormatting sqref="E70">
    <cfRule type="expression" dxfId="1882" priority="222">
      <formula>B1048542="Level 5 - Biology"</formula>
    </cfRule>
    <cfRule type="expression" dxfId="1881" priority="223">
      <formula>B1048542="Level 4 - Physicochemical"</formula>
    </cfRule>
    <cfRule type="beginsWith" dxfId="1880" priority="224" stopIfTrue="1" operator="beginsWith" text="Functioning At Risk">
      <formula>LEFT(E70,LEN("Functioning At Risk"))="Functioning At Risk"</formula>
    </cfRule>
    <cfRule type="beginsWith" dxfId="1879" priority="225" stopIfTrue="1" operator="beginsWith" text="Not Functioning">
      <formula>LEFT(E70,LEN("Not Functioning"))="Not Functioning"</formula>
    </cfRule>
    <cfRule type="containsText" dxfId="1878" priority="226" operator="containsText" text="Functioning">
      <formula>NOT(ISERROR(SEARCH("Functioning",E70)))</formula>
    </cfRule>
  </conditionalFormatting>
  <conditionalFormatting sqref="C128">
    <cfRule type="expression" dxfId="1877" priority="219">
      <formula>XFD24="Level 4 - Physicochemical"</formula>
    </cfRule>
    <cfRule type="expression" dxfId="1876" priority="221">
      <formula>XFD24="Level 5 - Biology"</formula>
    </cfRule>
  </conditionalFormatting>
  <conditionalFormatting sqref="C129">
    <cfRule type="expression" dxfId="1875" priority="218">
      <formula>XFD24="Level 4 - Physicochemical"</formula>
    </cfRule>
    <cfRule type="expression" dxfId="1874" priority="220">
      <formula>XFD24="Level 5 - Biology"</formula>
    </cfRule>
  </conditionalFormatting>
  <conditionalFormatting sqref="C135">
    <cfRule type="expression" dxfId="1873" priority="215">
      <formula>XFD31="Level 4 - Physicochemical"</formula>
    </cfRule>
    <cfRule type="expression" dxfId="1872" priority="217">
      <formula>XFD31="Level 5 - Biology"</formula>
    </cfRule>
  </conditionalFormatting>
  <conditionalFormatting sqref="C136">
    <cfRule type="expression" dxfId="1871" priority="214">
      <formula>XFD31="Level 4 - Physicochemical"</formula>
    </cfRule>
    <cfRule type="expression" dxfId="1870" priority="216">
      <formula>XFD31="Level 5 - Biology"</formula>
    </cfRule>
  </conditionalFormatting>
  <conditionalFormatting sqref="J36">
    <cfRule type="beginsWith" dxfId="1869" priority="202" stopIfTrue="1" operator="beginsWith" text="Functioning At Risk">
      <formula>LEFT(J36,LEN("Functioning At Risk"))="Functioning At Risk"</formula>
    </cfRule>
    <cfRule type="beginsWith" dxfId="1868" priority="203" stopIfTrue="1" operator="beginsWith" text="Not Functioning">
      <formula>LEFT(J36,LEN("Not Functioning"))="Not Functioning"</formula>
    </cfRule>
    <cfRule type="containsText" dxfId="1867" priority="204" operator="containsText" text="Functioning">
      <formula>NOT(ISERROR(SEARCH("Functioning",J36)))</formula>
    </cfRule>
  </conditionalFormatting>
  <conditionalFormatting sqref="F36">
    <cfRule type="beginsWith" dxfId="1866" priority="196" stopIfTrue="1" operator="beginsWith" text="Functioning At Risk">
      <formula>LEFT(F36,LEN("Functioning At Risk"))="Functioning At Risk"</formula>
    </cfRule>
    <cfRule type="beginsWith" dxfId="1865" priority="197" stopIfTrue="1" operator="beginsWith" text="Not Functioning">
      <formula>LEFT(F36,LEN("Not Functioning"))="Not Functioning"</formula>
    </cfRule>
    <cfRule type="containsText" dxfId="1864" priority="198" operator="containsText" text="Functioning">
      <formula>NOT(ISERROR(SEARCH("Functioning",F36)))</formula>
    </cfRule>
  </conditionalFormatting>
  <conditionalFormatting sqref="H36:I36">
    <cfRule type="cellIs" dxfId="1863" priority="199" operator="between">
      <formula>0</formula>
      <formula>0.299999</formula>
    </cfRule>
    <cfRule type="cellIs" dxfId="1862" priority="200" operator="between">
      <formula>0.6999999</formula>
      <formula>0.3</formula>
    </cfRule>
    <cfRule type="cellIs" dxfId="1861" priority="201" operator="between">
      <formula>0.7</formula>
      <formula>1</formula>
    </cfRule>
  </conditionalFormatting>
  <conditionalFormatting sqref="C59:D60 F59:F60">
    <cfRule type="beginsWith" dxfId="1860" priority="184" stopIfTrue="1" operator="beginsWith" text="Functioning At Risk">
      <formula>LEFT(C59,LEN("Functioning At Risk"))="Functioning At Risk"</formula>
    </cfRule>
    <cfRule type="beginsWith" dxfId="1859" priority="185" stopIfTrue="1" operator="beginsWith" text="Not Functioning">
      <formula>LEFT(C59,LEN("Not Functioning"))="Not Functioning"</formula>
    </cfRule>
    <cfRule type="containsText" dxfId="1858" priority="186" operator="containsText" text="Functioning">
      <formula>NOT(ISERROR(SEARCH("Functioning",C59)))</formula>
    </cfRule>
  </conditionalFormatting>
  <conditionalFormatting sqref="E59:E60">
    <cfRule type="beginsWith" dxfId="1857" priority="181" stopIfTrue="1" operator="beginsWith" text="Functioning At Risk">
      <formula>LEFT(E59,LEN("Functioning At Risk"))="Functioning At Risk"</formula>
    </cfRule>
    <cfRule type="beginsWith" dxfId="1856" priority="182" stopIfTrue="1" operator="beginsWith" text="Not Functioning">
      <formula>LEFT(E59,LEN("Not Functioning"))="Not Functioning"</formula>
    </cfRule>
    <cfRule type="containsText" dxfId="1855" priority="183" operator="containsText" text="Functioning">
      <formula>NOT(ISERROR(SEARCH("Functioning",E59)))</formula>
    </cfRule>
  </conditionalFormatting>
  <conditionalFormatting sqref="D97:D98">
    <cfRule type="beginsWith" dxfId="1854" priority="178" stopIfTrue="1" operator="beginsWith" text="Functioning At Risk">
      <formula>LEFT(D97,LEN("Functioning At Risk"))="Functioning At Risk"</formula>
    </cfRule>
    <cfRule type="beginsWith" dxfId="1853" priority="179" stopIfTrue="1" operator="beginsWith" text="Not Functioning">
      <formula>LEFT(D97,LEN("Not Functioning"))="Not Functioning"</formula>
    </cfRule>
    <cfRule type="containsText" dxfId="1852" priority="180" operator="containsText" text="Functioning">
      <formula>NOT(ISERROR(SEARCH("Functioning",D97)))</formula>
    </cfRule>
  </conditionalFormatting>
  <conditionalFormatting sqref="F97:F98">
    <cfRule type="beginsWith" dxfId="1851" priority="175" stopIfTrue="1" operator="beginsWith" text="Functioning At Risk">
      <formula>LEFT(F97,LEN("Functioning At Risk"))="Functioning At Risk"</formula>
    </cfRule>
    <cfRule type="beginsWith" dxfId="1850" priority="176" stopIfTrue="1" operator="beginsWith" text="Not Functioning">
      <formula>LEFT(F97,LEN("Not Functioning"))="Not Functioning"</formula>
    </cfRule>
    <cfRule type="containsText" dxfId="1849" priority="177" operator="containsText" text="Functioning">
      <formula>NOT(ISERROR(SEARCH("Functioning",F97)))</formula>
    </cfRule>
  </conditionalFormatting>
  <conditionalFormatting sqref="D4">
    <cfRule type="beginsWith" dxfId="1848" priority="163" stopIfTrue="1" operator="beginsWith" text="Functioning At Risk">
      <formula>LEFT(D4,LEN("Functioning At Risk"))="Functioning At Risk"</formula>
    </cfRule>
    <cfRule type="beginsWith" dxfId="1847" priority="164" stopIfTrue="1" operator="beginsWith" text="Not Functioning">
      <formula>LEFT(D4,LEN("Not Functioning"))="Not Functioning"</formula>
    </cfRule>
    <cfRule type="containsText" dxfId="1846" priority="165" operator="containsText" text="Functioning">
      <formula>NOT(ISERROR(SEARCH("Functioning",D4)))</formula>
    </cfRule>
  </conditionalFormatting>
  <conditionalFormatting sqref="D102:D105">
    <cfRule type="beginsWith" dxfId="1845" priority="160" stopIfTrue="1" operator="beginsWith" text="Functioning At Risk">
      <formula>LEFT(D102,LEN("Functioning At Risk"))="Functioning At Risk"</formula>
    </cfRule>
    <cfRule type="beginsWith" dxfId="1844" priority="161" stopIfTrue="1" operator="beginsWith" text="Not Functioning">
      <formula>LEFT(D102,LEN("Not Functioning"))="Not Functioning"</formula>
    </cfRule>
    <cfRule type="containsText" dxfId="1843" priority="162" operator="containsText" text="Functioning">
      <formula>NOT(ISERROR(SEARCH("Functioning",D102)))</formula>
    </cfRule>
  </conditionalFormatting>
  <conditionalFormatting sqref="E102:E105">
    <cfRule type="beginsWith" dxfId="1842" priority="157" stopIfTrue="1" operator="beginsWith" text="Functioning At Risk">
      <formula>LEFT(E102,LEN("Functioning At Risk"))="Functioning At Risk"</formula>
    </cfRule>
    <cfRule type="beginsWith" dxfId="1841" priority="158" stopIfTrue="1" operator="beginsWith" text="Not Functioning">
      <formula>LEFT(E102,LEN("Not Functioning"))="Not Functioning"</formula>
    </cfRule>
    <cfRule type="containsText" dxfId="1840" priority="159" operator="containsText" text="Functioning">
      <formula>NOT(ISERROR(SEARCH("Functioning",E102)))</formula>
    </cfRule>
  </conditionalFormatting>
  <conditionalFormatting sqref="H107 H88:H89 H86 H82:H84">
    <cfRule type="beginsWith" dxfId="1839" priority="154" stopIfTrue="1" operator="beginsWith" text="Functioning At Risk">
      <formula>LEFT(H82,LEN("Functioning At Risk"))="Functioning At Risk"</formula>
    </cfRule>
    <cfRule type="beginsWith" dxfId="1838" priority="155" stopIfTrue="1" operator="beginsWith" text="Not Functioning">
      <formula>LEFT(H82,LEN("Not Functioning"))="Not Functioning"</formula>
    </cfRule>
    <cfRule type="containsText" dxfId="1837" priority="156" operator="containsText" text="Functioning">
      <formula>NOT(ISERROR(SEARCH("Functioning",H82)))</formula>
    </cfRule>
  </conditionalFormatting>
  <conditionalFormatting sqref="J82:J84">
    <cfRule type="beginsWith" dxfId="1836" priority="151" stopIfTrue="1" operator="beginsWith" text="Functioning At Risk">
      <formula>LEFT(J82,LEN("Functioning At Risk"))="Functioning At Risk"</formula>
    </cfRule>
    <cfRule type="beginsWith" dxfId="1835" priority="152" stopIfTrue="1" operator="beginsWith" text="Not Functioning">
      <formula>LEFT(J82,LEN("Not Functioning"))="Not Functioning"</formula>
    </cfRule>
    <cfRule type="containsText" dxfId="1834" priority="153" operator="containsText" text="Functioning">
      <formula>NOT(ISERROR(SEARCH("Functioning",J82)))</formula>
    </cfRule>
  </conditionalFormatting>
  <conditionalFormatting sqref="E99 E93:E94">
    <cfRule type="beginsWith" dxfId="1833" priority="148" stopIfTrue="1" operator="beginsWith" text="Functioning At Risk">
      <formula>LEFT(E93,LEN("Functioning At Risk"))="Functioning At Risk"</formula>
    </cfRule>
    <cfRule type="beginsWith" dxfId="1832" priority="149" stopIfTrue="1" operator="beginsWith" text="Not Functioning">
      <formula>LEFT(E93,LEN("Not Functioning"))="Not Functioning"</formula>
    </cfRule>
    <cfRule type="containsText" dxfId="1831" priority="150" operator="containsText" text="Functioning">
      <formula>NOT(ISERROR(SEARCH("Functioning",E93)))</formula>
    </cfRule>
  </conditionalFormatting>
  <conditionalFormatting sqref="E97:E98">
    <cfRule type="beginsWith" dxfId="1830" priority="145" stopIfTrue="1" operator="beginsWith" text="Functioning At Risk">
      <formula>LEFT(E97,LEN("Functioning At Risk"))="Functioning At Risk"</formula>
    </cfRule>
    <cfRule type="beginsWith" dxfId="1829" priority="146" stopIfTrue="1" operator="beginsWith" text="Not Functioning">
      <formula>LEFT(E97,LEN("Not Functioning"))="Not Functioning"</formula>
    </cfRule>
    <cfRule type="containsText" dxfId="1828" priority="147" operator="containsText" text="Functioning">
      <formula>NOT(ISERROR(SEARCH("Functioning",E97)))</formula>
    </cfRule>
  </conditionalFormatting>
  <conditionalFormatting sqref="D95">
    <cfRule type="beginsWith" dxfId="1827" priority="142" stopIfTrue="1" operator="beginsWith" text="Functioning At Risk">
      <formula>LEFT(D95,LEN("Functioning At Risk"))="Functioning At Risk"</formula>
    </cfRule>
    <cfRule type="beginsWith" dxfId="1826" priority="143" stopIfTrue="1" operator="beginsWith" text="Not Functioning">
      <formula>LEFT(D95,LEN("Not Functioning"))="Not Functioning"</formula>
    </cfRule>
    <cfRule type="containsText" dxfId="1825" priority="144" operator="containsText" text="Functioning">
      <formula>NOT(ISERROR(SEARCH("Functioning",D95)))</formula>
    </cfRule>
  </conditionalFormatting>
  <conditionalFormatting sqref="D96">
    <cfRule type="beginsWith" dxfId="1824" priority="139" stopIfTrue="1" operator="beginsWith" text="Functioning At Risk">
      <formula>LEFT(D96,LEN("Functioning At Risk"))="Functioning At Risk"</formula>
    </cfRule>
    <cfRule type="beginsWith" dxfId="1823" priority="140" stopIfTrue="1" operator="beginsWith" text="Not Functioning">
      <formula>LEFT(D96,LEN("Not Functioning"))="Not Functioning"</formula>
    </cfRule>
    <cfRule type="containsText" dxfId="1822" priority="141" operator="containsText" text="Functioning">
      <formula>NOT(ISERROR(SEARCH("Functioning",D96)))</formula>
    </cfRule>
  </conditionalFormatting>
  <conditionalFormatting sqref="E95">
    <cfRule type="beginsWith" dxfId="1821" priority="136" stopIfTrue="1" operator="beginsWith" text="Functioning At Risk">
      <formula>LEFT(E95,LEN("Functioning At Risk"))="Functioning At Risk"</formula>
    </cfRule>
    <cfRule type="beginsWith" dxfId="1820" priority="137" stopIfTrue="1" operator="beginsWith" text="Not Functioning">
      <formula>LEFT(E95,LEN("Not Functioning"))="Not Functioning"</formula>
    </cfRule>
    <cfRule type="containsText" dxfId="1819" priority="138" operator="containsText" text="Functioning">
      <formula>NOT(ISERROR(SEARCH("Functioning",E95)))</formula>
    </cfRule>
  </conditionalFormatting>
  <conditionalFormatting sqref="F57:F58">
    <cfRule type="beginsWith" dxfId="1818" priority="133" stopIfTrue="1" operator="beginsWith" text="Functioning At Risk">
      <formula>LEFT(F57,LEN("Functioning At Risk"))="Functioning At Risk"</formula>
    </cfRule>
    <cfRule type="beginsWith" dxfId="1817" priority="134" stopIfTrue="1" operator="beginsWith" text="Not Functioning">
      <formula>LEFT(F57,LEN("Not Functioning"))="Not Functioning"</formula>
    </cfRule>
    <cfRule type="containsText" dxfId="1816" priority="135" operator="containsText" text="Functioning">
      <formula>NOT(ISERROR(SEARCH("Functioning",F57)))</formula>
    </cfRule>
  </conditionalFormatting>
  <conditionalFormatting sqref="F95:F96">
    <cfRule type="beginsWith" dxfId="1815" priority="130" stopIfTrue="1" operator="beginsWith" text="Functioning At Risk">
      <formula>LEFT(F95,LEN("Functioning At Risk"))="Functioning At Risk"</formula>
    </cfRule>
    <cfRule type="beginsWith" dxfId="1814" priority="131" stopIfTrue="1" operator="beginsWith" text="Not Functioning">
      <formula>LEFT(F95,LEN("Not Functioning"))="Not Functioning"</formula>
    </cfRule>
    <cfRule type="containsText" dxfId="1813" priority="132" operator="containsText" text="Functioning">
      <formula>NOT(ISERROR(SEARCH("Functioning",F95)))</formula>
    </cfRule>
  </conditionalFormatting>
  <conditionalFormatting sqref="B88 F88 D88:D89">
    <cfRule type="beginsWith" dxfId="1812" priority="127" stopIfTrue="1" operator="beginsWith" text="Functioning At Risk">
      <formula>LEFT(B88,LEN("Functioning At Risk"))="Functioning At Risk"</formula>
    </cfRule>
    <cfRule type="beginsWith" dxfId="1811" priority="128" stopIfTrue="1" operator="beginsWith" text="Not Functioning">
      <formula>LEFT(B88,LEN("Not Functioning"))="Not Functioning"</formula>
    </cfRule>
    <cfRule type="containsText" dxfId="1810" priority="129" operator="containsText" text="Functioning">
      <formula>NOT(ISERROR(SEARCH("Functioning",B88)))</formula>
    </cfRule>
  </conditionalFormatting>
  <conditionalFormatting sqref="E88:E89">
    <cfRule type="beginsWith" dxfId="1809" priority="124" stopIfTrue="1" operator="beginsWith" text="Functioning At Risk">
      <formula>LEFT(E88,LEN("Functioning At Risk"))="Functioning At Risk"</formula>
    </cfRule>
    <cfRule type="beginsWith" dxfId="1808" priority="125" stopIfTrue="1" operator="beginsWith" text="Not Functioning">
      <formula>LEFT(E88,LEN("Not Functioning"))="Not Functioning"</formula>
    </cfRule>
    <cfRule type="containsText" dxfId="1807" priority="126" operator="containsText" text="Functioning">
      <formula>NOT(ISERROR(SEARCH("Functioning",E88)))</formula>
    </cfRule>
  </conditionalFormatting>
  <conditionalFormatting sqref="C88:C89">
    <cfRule type="beginsWith" dxfId="1806" priority="121" stopIfTrue="1" operator="beginsWith" text="Functioning At Risk">
      <formula>LEFT(C88,LEN("Functioning At Risk"))="Functioning At Risk"</formula>
    </cfRule>
    <cfRule type="beginsWith" dxfId="1805" priority="122" stopIfTrue="1" operator="beginsWith" text="Not Functioning">
      <formula>LEFT(C88,LEN("Not Functioning"))="Not Functioning"</formula>
    </cfRule>
    <cfRule type="containsText" dxfId="1804" priority="123" operator="containsText" text="Functioning">
      <formula>NOT(ISERROR(SEARCH("Functioning",C88)))</formula>
    </cfRule>
  </conditionalFormatting>
  <conditionalFormatting sqref="F89">
    <cfRule type="beginsWith" dxfId="1803" priority="118" stopIfTrue="1" operator="beginsWith" text="Functioning At Risk">
      <formula>LEFT(F89,LEN("Functioning At Risk"))="Functioning At Risk"</formula>
    </cfRule>
    <cfRule type="beginsWith" dxfId="1802" priority="119" stopIfTrue="1" operator="beginsWith" text="Not Functioning">
      <formula>LEFT(F89,LEN("Not Functioning"))="Not Functioning"</formula>
    </cfRule>
    <cfRule type="containsText" dxfId="1801" priority="120" operator="containsText" text="Functioning">
      <formula>NOT(ISERROR(SEARCH("Functioning",F89)))</formula>
    </cfRule>
  </conditionalFormatting>
  <conditionalFormatting sqref="C68">
    <cfRule type="beginsWith" dxfId="1800" priority="115" stopIfTrue="1" operator="beginsWith" text="Functioning At Risk">
      <formula>LEFT(C68,LEN("Functioning At Risk"))="Functioning At Risk"</formula>
    </cfRule>
    <cfRule type="beginsWith" dxfId="1799" priority="116" stopIfTrue="1" operator="beginsWith" text="Not Functioning">
      <formula>LEFT(C68,LEN("Not Functioning"))="Not Functioning"</formula>
    </cfRule>
    <cfRule type="containsText" dxfId="1798" priority="117" operator="containsText" text="Functioning">
      <formula>NOT(ISERROR(SEARCH("Functioning",C68)))</formula>
    </cfRule>
  </conditionalFormatting>
  <conditionalFormatting sqref="B68">
    <cfRule type="beginsWith" dxfId="1797" priority="112" stopIfTrue="1" operator="beginsWith" text="Functioning At Risk">
      <formula>LEFT(B68,LEN("Functioning At Risk"))="Functioning At Risk"</formula>
    </cfRule>
    <cfRule type="beginsWith" dxfId="1796" priority="113" stopIfTrue="1" operator="beginsWith" text="Not Functioning">
      <formula>LEFT(B68,LEN("Not Functioning"))="Not Functioning"</formula>
    </cfRule>
    <cfRule type="containsText" dxfId="1795" priority="114" operator="containsText" text="Functioning">
      <formula>NOT(ISERROR(SEARCH("Functioning",B68)))</formula>
    </cfRule>
  </conditionalFormatting>
  <conditionalFormatting sqref="C106">
    <cfRule type="beginsWith" dxfId="1794" priority="109" stopIfTrue="1" operator="beginsWith" text="Functioning At Risk">
      <formula>LEFT(C106,LEN("Functioning At Risk"))="Functioning At Risk"</formula>
    </cfRule>
    <cfRule type="beginsWith" dxfId="1793" priority="110" stopIfTrue="1" operator="beginsWith" text="Not Functioning">
      <formula>LEFT(C106,LEN("Not Functioning"))="Not Functioning"</formula>
    </cfRule>
    <cfRule type="containsText" dxfId="1792" priority="111" operator="containsText" text="Functioning">
      <formula>NOT(ISERROR(SEARCH("Functioning",C106)))</formula>
    </cfRule>
  </conditionalFormatting>
  <conditionalFormatting sqref="B106">
    <cfRule type="beginsWith" dxfId="1791" priority="106" stopIfTrue="1" operator="beginsWith" text="Functioning At Risk">
      <formula>LEFT(B106,LEN("Functioning At Risk"))="Functioning At Risk"</formula>
    </cfRule>
    <cfRule type="beginsWith" dxfId="1790" priority="107" stopIfTrue="1" operator="beginsWith" text="Not Functioning">
      <formula>LEFT(B106,LEN("Not Functioning"))="Not Functioning"</formula>
    </cfRule>
    <cfRule type="containsText" dxfId="1789" priority="108" operator="containsText" text="Functioning">
      <formula>NOT(ISERROR(SEARCH("Functioning",B106)))</formula>
    </cfRule>
  </conditionalFormatting>
  <conditionalFormatting sqref="H10">
    <cfRule type="beginsWith" dxfId="1788" priority="103" stopIfTrue="1" operator="beginsWith" text="Functioning At Risk">
      <formula>LEFT(H10,LEN("Functioning At Risk"))="Functioning At Risk"</formula>
    </cfRule>
    <cfRule type="beginsWith" dxfId="1787" priority="104" stopIfTrue="1" operator="beginsWith" text="Not Functioning">
      <formula>LEFT(H10,LEN("Not Functioning"))="Not Functioning"</formula>
    </cfRule>
    <cfRule type="containsText" dxfId="1786" priority="105" operator="containsText" text="Functioning">
      <formula>NOT(ISERROR(SEARCH("Functioning",H10)))</formula>
    </cfRule>
  </conditionalFormatting>
  <conditionalFormatting sqref="H17">
    <cfRule type="beginsWith" dxfId="1785" priority="97" stopIfTrue="1" operator="beginsWith" text="Functioning At Risk">
      <formula>LEFT(H17,LEN("Functioning At Risk"))="Functioning At Risk"</formula>
    </cfRule>
    <cfRule type="beginsWith" dxfId="1784" priority="98" stopIfTrue="1" operator="beginsWith" text="Not Functioning">
      <formula>LEFT(H17,LEN("Not Functioning"))="Not Functioning"</formula>
    </cfRule>
    <cfRule type="containsText" dxfId="1783" priority="99" operator="containsText" text="Functioning">
      <formula>NOT(ISERROR(SEARCH("Functioning",H17)))</formula>
    </cfRule>
  </conditionalFormatting>
  <conditionalFormatting sqref="C57">
    <cfRule type="beginsWith" dxfId="1782" priority="94" stopIfTrue="1" operator="beginsWith" text="Functioning At Risk">
      <formula>LEFT(C57,LEN("Functioning At Risk"))="Functioning At Risk"</formula>
    </cfRule>
    <cfRule type="beginsWith" dxfId="1781" priority="95" stopIfTrue="1" operator="beginsWith" text="Not Functioning">
      <formula>LEFT(C57,LEN("Not Functioning"))="Not Functioning"</formula>
    </cfRule>
    <cfRule type="containsText" dxfId="1780" priority="96" operator="containsText" text="Functioning">
      <formula>NOT(ISERROR(SEARCH("Functioning",C57)))</formula>
    </cfRule>
  </conditionalFormatting>
  <conditionalFormatting sqref="C58">
    <cfRule type="beginsWith" dxfId="1779" priority="91" stopIfTrue="1" operator="beginsWith" text="Functioning At Risk">
      <formula>LEFT(C58,LEN("Functioning At Risk"))="Functioning At Risk"</formula>
    </cfRule>
    <cfRule type="beginsWith" dxfId="1778" priority="92" stopIfTrue="1" operator="beginsWith" text="Not Functioning">
      <formula>LEFT(C58,LEN("Not Functioning"))="Not Functioning"</formula>
    </cfRule>
    <cfRule type="containsText" dxfId="1777" priority="93" operator="containsText" text="Functioning">
      <formula>NOT(ISERROR(SEARCH("Functioning",C58)))</formula>
    </cfRule>
  </conditionalFormatting>
  <conditionalFormatting sqref="C107">
    <cfRule type="beginsWith" dxfId="1776" priority="88" stopIfTrue="1" operator="beginsWith" text="Functioning At Risk">
      <formula>LEFT(C107,LEN("Functioning At Risk"))="Functioning At Risk"</formula>
    </cfRule>
    <cfRule type="beginsWith" dxfId="1775" priority="89" stopIfTrue="1" operator="beginsWith" text="Not Functioning">
      <formula>LEFT(C107,LEN("Not Functioning"))="Not Functioning"</formula>
    </cfRule>
    <cfRule type="containsText" dxfId="1774" priority="90" operator="containsText" text="Functioning">
      <formula>NOT(ISERROR(SEARCH("Functioning",C107)))</formula>
    </cfRule>
  </conditionalFormatting>
  <conditionalFormatting sqref="B126">
    <cfRule type="beginsWith" dxfId="1773" priority="85" stopIfTrue="1" operator="beginsWith" text="Functioning At Risk">
      <formula>LEFT(B126,LEN("Functioning At Risk"))="Functioning At Risk"</formula>
    </cfRule>
    <cfRule type="beginsWith" dxfId="1772" priority="86" stopIfTrue="1" operator="beginsWith" text="Not Functioning">
      <formula>LEFT(B126,LEN("Not Functioning"))="Not Functioning"</formula>
    </cfRule>
    <cfRule type="containsText" dxfId="1771" priority="87" operator="containsText" text="Functioning">
      <formula>NOT(ISERROR(SEARCH("Functioning",B126)))</formula>
    </cfRule>
  </conditionalFormatting>
  <conditionalFormatting sqref="B133">
    <cfRule type="beginsWith" dxfId="1770" priority="82" stopIfTrue="1" operator="beginsWith" text="Functioning At Risk">
      <formula>LEFT(B133,LEN("Functioning At Risk"))="Functioning At Risk"</formula>
    </cfRule>
    <cfRule type="beginsWith" dxfId="1769" priority="83" stopIfTrue="1" operator="beginsWith" text="Not Functioning">
      <formula>LEFT(B133,LEN("Not Functioning"))="Not Functioning"</formula>
    </cfRule>
    <cfRule type="containsText" dxfId="1768" priority="84" operator="containsText" text="Functioning">
      <formula>NOT(ISERROR(SEARCH("Functioning",B133)))</formula>
    </cfRule>
  </conditionalFormatting>
  <conditionalFormatting sqref="B151">
    <cfRule type="beginsWith" dxfId="1767" priority="79" stopIfTrue="1" operator="beginsWith" text="Functioning At Risk">
      <formula>LEFT(B151,LEN("Functioning At Risk"))="Functioning At Risk"</formula>
    </cfRule>
    <cfRule type="beginsWith" dxfId="1766" priority="80" stopIfTrue="1" operator="beginsWith" text="Not Functioning">
      <formula>LEFT(B151,LEN("Not Functioning"))="Not Functioning"</formula>
    </cfRule>
    <cfRule type="containsText" dxfId="1765" priority="81" operator="containsText" text="Functioning">
      <formula>NOT(ISERROR(SEARCH("Functioning",B151)))</formula>
    </cfRule>
  </conditionalFormatting>
  <conditionalFormatting sqref="B158">
    <cfRule type="beginsWith" dxfId="1764" priority="76" stopIfTrue="1" operator="beginsWith" text="Functioning At Risk">
      <formula>LEFT(B158,LEN("Functioning At Risk"))="Functioning At Risk"</formula>
    </cfRule>
    <cfRule type="beginsWith" dxfId="1763" priority="77" stopIfTrue="1" operator="beginsWith" text="Not Functioning">
      <formula>LEFT(B158,LEN("Not Functioning"))="Not Functioning"</formula>
    </cfRule>
    <cfRule type="containsText" dxfId="1762" priority="78" operator="containsText" text="Functioning">
      <formula>NOT(ISERROR(SEARCH("Functioning",B158)))</formula>
    </cfRule>
  </conditionalFormatting>
  <conditionalFormatting sqref="B177">
    <cfRule type="beginsWith" dxfId="1761" priority="73" stopIfTrue="1" operator="beginsWith" text="Functioning At Risk">
      <formula>LEFT(B177,LEN("Functioning At Risk"))="Functioning At Risk"</formula>
    </cfRule>
    <cfRule type="beginsWith" dxfId="1760" priority="74" stopIfTrue="1" operator="beginsWith" text="Not Functioning">
      <formula>LEFT(B177,LEN("Not Functioning"))="Not Functioning"</formula>
    </cfRule>
    <cfRule type="containsText" dxfId="1759" priority="75" operator="containsText" text="Functioning">
      <formula>NOT(ISERROR(SEARCH("Functioning",B177)))</formula>
    </cfRule>
  </conditionalFormatting>
  <conditionalFormatting sqref="B184">
    <cfRule type="beginsWith" dxfId="1758" priority="70" stopIfTrue="1" operator="beginsWith" text="Functioning At Risk">
      <formula>LEFT(B184,LEN("Functioning At Risk"))="Functioning At Risk"</formula>
    </cfRule>
    <cfRule type="beginsWith" dxfId="1757" priority="71" stopIfTrue="1" operator="beginsWith" text="Not Functioning">
      <formula>LEFT(B184,LEN("Not Functioning"))="Not Functioning"</formula>
    </cfRule>
    <cfRule type="containsText" dxfId="1756" priority="72" operator="containsText" text="Functioning">
      <formula>NOT(ISERROR(SEARCH("Functioning",B184)))</formula>
    </cfRule>
  </conditionalFormatting>
  <conditionalFormatting sqref="B129">
    <cfRule type="beginsWith" dxfId="1755" priority="67" stopIfTrue="1" operator="beginsWith" text="Functioning At Risk">
      <formula>LEFT(B129,LEN("Functioning At Risk"))="Functioning At Risk"</formula>
    </cfRule>
    <cfRule type="beginsWith" dxfId="1754" priority="68" stopIfTrue="1" operator="beginsWith" text="Not Functioning">
      <formula>LEFT(B129,LEN("Not Functioning"))="Not Functioning"</formula>
    </cfRule>
    <cfRule type="containsText" dxfId="1753" priority="69" operator="containsText" text="Functioning">
      <formula>NOT(ISERROR(SEARCH("Functioning",B129)))</formula>
    </cfRule>
  </conditionalFormatting>
  <conditionalFormatting sqref="B135">
    <cfRule type="beginsWith" dxfId="1752" priority="64" stopIfTrue="1" operator="beginsWith" text="Functioning At Risk">
      <formula>LEFT(B135,LEN("Functioning At Risk"))="Functioning At Risk"</formula>
    </cfRule>
    <cfRule type="beginsWith" dxfId="1751" priority="65" stopIfTrue="1" operator="beginsWith" text="Not Functioning">
      <formula>LEFT(B135,LEN("Not Functioning"))="Not Functioning"</formula>
    </cfRule>
    <cfRule type="containsText" dxfId="1750" priority="66" operator="containsText" text="Functioning">
      <formula>NOT(ISERROR(SEARCH("Functioning",B135)))</formula>
    </cfRule>
  </conditionalFormatting>
  <conditionalFormatting sqref="B136">
    <cfRule type="beginsWith" dxfId="1749" priority="61" stopIfTrue="1" operator="beginsWith" text="Functioning At Risk">
      <formula>LEFT(B136,LEN("Functioning At Risk"))="Functioning At Risk"</formula>
    </cfRule>
    <cfRule type="beginsWith" dxfId="1748" priority="62" stopIfTrue="1" operator="beginsWith" text="Not Functioning">
      <formula>LEFT(B136,LEN("Not Functioning"))="Not Functioning"</formula>
    </cfRule>
    <cfRule type="containsText" dxfId="1747" priority="63" operator="containsText" text="Functioning">
      <formula>NOT(ISERROR(SEARCH("Functioning",B136)))</formula>
    </cfRule>
  </conditionalFormatting>
  <conditionalFormatting sqref="B153">
    <cfRule type="beginsWith" dxfId="1746" priority="46" stopIfTrue="1" operator="beginsWith" text="Functioning At Risk">
      <formula>LEFT(B153,LEN("Functioning At Risk"))="Functioning At Risk"</formula>
    </cfRule>
    <cfRule type="beginsWith" dxfId="1745" priority="47" stopIfTrue="1" operator="beginsWith" text="Not Functioning">
      <formula>LEFT(B153,LEN("Not Functioning"))="Not Functioning"</formula>
    </cfRule>
    <cfRule type="containsText" dxfId="1744" priority="48" operator="containsText" text="Functioning">
      <formula>NOT(ISERROR(SEARCH("Functioning",B153)))</formula>
    </cfRule>
  </conditionalFormatting>
  <conditionalFormatting sqref="B154">
    <cfRule type="beginsWith" dxfId="1743" priority="43" stopIfTrue="1" operator="beginsWith" text="Functioning At Risk">
      <formula>LEFT(B154,LEN("Functioning At Risk"))="Functioning At Risk"</formula>
    </cfRule>
    <cfRule type="beginsWith" dxfId="1742" priority="44" stopIfTrue="1" operator="beginsWith" text="Not Functioning">
      <formula>LEFT(B154,LEN("Not Functioning"))="Not Functioning"</formula>
    </cfRule>
    <cfRule type="containsText" dxfId="1741" priority="45" operator="containsText" text="Functioning">
      <formula>NOT(ISERROR(SEARCH("Functioning",B154)))</formula>
    </cfRule>
  </conditionalFormatting>
  <conditionalFormatting sqref="B160">
    <cfRule type="beginsWith" dxfId="1740" priority="40" stopIfTrue="1" operator="beginsWith" text="Functioning At Risk">
      <formula>LEFT(B160,LEN("Functioning At Risk"))="Functioning At Risk"</formula>
    </cfRule>
    <cfRule type="beginsWith" dxfId="1739" priority="41" stopIfTrue="1" operator="beginsWith" text="Not Functioning">
      <formula>LEFT(B160,LEN("Not Functioning"))="Not Functioning"</formula>
    </cfRule>
    <cfRule type="containsText" dxfId="1738" priority="42" operator="containsText" text="Functioning">
      <formula>NOT(ISERROR(SEARCH("Functioning",B160)))</formula>
    </cfRule>
  </conditionalFormatting>
  <conditionalFormatting sqref="B161">
    <cfRule type="beginsWith" dxfId="1737" priority="37" stopIfTrue="1" operator="beginsWith" text="Functioning At Risk">
      <formula>LEFT(B161,LEN("Functioning At Risk"))="Functioning At Risk"</formula>
    </cfRule>
    <cfRule type="beginsWith" dxfId="1736" priority="38" stopIfTrue="1" operator="beginsWith" text="Not Functioning">
      <formula>LEFT(B161,LEN("Not Functioning"))="Not Functioning"</formula>
    </cfRule>
    <cfRule type="containsText" dxfId="1735" priority="39" operator="containsText" text="Functioning">
      <formula>NOT(ISERROR(SEARCH("Functioning",B161)))</formula>
    </cfRule>
  </conditionalFormatting>
  <conditionalFormatting sqref="B179">
    <cfRule type="beginsWith" dxfId="1734" priority="34" stopIfTrue="1" operator="beginsWith" text="Functioning At Risk">
      <formula>LEFT(B179,LEN("Functioning At Risk"))="Functioning At Risk"</formula>
    </cfRule>
    <cfRule type="beginsWith" dxfId="1733" priority="35" stopIfTrue="1" operator="beginsWith" text="Not Functioning">
      <formula>LEFT(B179,LEN("Not Functioning"))="Not Functioning"</formula>
    </cfRule>
    <cfRule type="containsText" dxfId="1732" priority="36" operator="containsText" text="Functioning">
      <formula>NOT(ISERROR(SEARCH("Functioning",B179)))</formula>
    </cfRule>
  </conditionalFormatting>
  <conditionalFormatting sqref="B180">
    <cfRule type="beginsWith" dxfId="1731" priority="31" stopIfTrue="1" operator="beginsWith" text="Functioning At Risk">
      <formula>LEFT(B180,LEN("Functioning At Risk"))="Functioning At Risk"</formula>
    </cfRule>
    <cfRule type="beginsWith" dxfId="1730" priority="32" stopIfTrue="1" operator="beginsWith" text="Not Functioning">
      <formula>LEFT(B180,LEN("Not Functioning"))="Not Functioning"</formula>
    </cfRule>
    <cfRule type="containsText" dxfId="1729" priority="33" operator="containsText" text="Functioning">
      <formula>NOT(ISERROR(SEARCH("Functioning",B180)))</formula>
    </cfRule>
  </conditionalFormatting>
  <conditionalFormatting sqref="B186">
    <cfRule type="beginsWith" dxfId="1728" priority="28" stopIfTrue="1" operator="beginsWith" text="Functioning At Risk">
      <formula>LEFT(B186,LEN("Functioning At Risk"))="Functioning At Risk"</formula>
    </cfRule>
    <cfRule type="beginsWith" dxfId="1727" priority="29" stopIfTrue="1" operator="beginsWith" text="Not Functioning">
      <formula>LEFT(B186,LEN("Not Functioning"))="Not Functioning"</formula>
    </cfRule>
    <cfRule type="containsText" dxfId="1726" priority="30" operator="containsText" text="Functioning">
      <formula>NOT(ISERROR(SEARCH("Functioning",B186)))</formula>
    </cfRule>
  </conditionalFormatting>
  <conditionalFormatting sqref="B187">
    <cfRule type="beginsWith" dxfId="1725" priority="25" stopIfTrue="1" operator="beginsWith" text="Functioning At Risk">
      <formula>LEFT(B187,LEN("Functioning At Risk"))="Functioning At Risk"</formula>
    </cfRule>
    <cfRule type="beginsWith" dxfId="1724" priority="26" stopIfTrue="1" operator="beginsWith" text="Not Functioning">
      <formula>LEFT(B187,LEN("Not Functioning"))="Not Functioning"</formula>
    </cfRule>
    <cfRule type="containsText" dxfId="1723" priority="27" operator="containsText" text="Functioning">
      <formula>NOT(ISERROR(SEARCH("Functioning",B187)))</formula>
    </cfRule>
  </conditionalFormatting>
  <conditionalFormatting sqref="C111">
    <cfRule type="beginsWith" dxfId="1722" priority="22" stopIfTrue="1" operator="beginsWith" text="Functioning At Risk">
      <formula>LEFT(C111,LEN("Functioning At Risk"))="Functioning At Risk"</formula>
    </cfRule>
    <cfRule type="beginsWith" dxfId="1721" priority="23" stopIfTrue="1" operator="beginsWith" text="Not Functioning">
      <formula>LEFT(C111,LEN("Not Functioning"))="Not Functioning"</formula>
    </cfRule>
    <cfRule type="containsText" dxfId="1720" priority="24" operator="containsText" text="Functioning">
      <formula>NOT(ISERROR(SEARCH("Functioning",C111)))</formula>
    </cfRule>
  </conditionalFormatting>
  <conditionalFormatting sqref="F103">
    <cfRule type="beginsWith" dxfId="1719" priority="19" stopIfTrue="1" operator="beginsWith" text="Functioning At Risk">
      <formula>LEFT(F103,LEN("Functioning At Risk"))="Functioning At Risk"</formula>
    </cfRule>
    <cfRule type="beginsWith" dxfId="1718" priority="20" stopIfTrue="1" operator="beginsWith" text="Not Functioning">
      <formula>LEFT(F103,LEN("Not Functioning"))="Not Functioning"</formula>
    </cfRule>
    <cfRule type="containsText" dxfId="1717" priority="21" operator="containsText" text="Functioning">
      <formula>NOT(ISERROR(SEARCH("Functioning",F103)))</formula>
    </cfRule>
  </conditionalFormatting>
  <conditionalFormatting sqref="C99 C102:C105 C93:C94">
    <cfRule type="beginsWith" dxfId="1716" priority="16" stopIfTrue="1" operator="beginsWith" text="Functioning At Risk">
      <formula>LEFT(C93,LEN("Functioning At Risk"))="Functioning At Risk"</formula>
    </cfRule>
    <cfRule type="beginsWith" dxfId="1715" priority="17" stopIfTrue="1" operator="beginsWith" text="Not Functioning">
      <formula>LEFT(C93,LEN("Not Functioning"))="Not Functioning"</formula>
    </cfRule>
    <cfRule type="containsText" dxfId="1714" priority="18" operator="containsText" text="Functioning">
      <formula>NOT(ISERROR(SEARCH("Functioning",C93)))</formula>
    </cfRule>
  </conditionalFormatting>
  <conditionalFormatting sqref="C100">
    <cfRule type="beginsWith" dxfId="1713" priority="13" stopIfTrue="1" operator="beginsWith" text="Functioning At Risk">
      <formula>LEFT(C100,LEN("Functioning At Risk"))="Functioning At Risk"</formula>
    </cfRule>
    <cfRule type="beginsWith" dxfId="1712" priority="14" stopIfTrue="1" operator="beginsWith" text="Not Functioning">
      <formula>LEFT(C100,LEN("Not Functioning"))="Not Functioning"</formula>
    </cfRule>
    <cfRule type="containsText" dxfId="1711" priority="15" operator="containsText" text="Functioning">
      <formula>NOT(ISERROR(SEARCH("Functioning",C100)))</formula>
    </cfRule>
  </conditionalFormatting>
  <conditionalFormatting sqref="C101">
    <cfRule type="beginsWith" dxfId="1710" priority="10" stopIfTrue="1" operator="beginsWith" text="Functioning At Risk">
      <formula>LEFT(C101,LEN("Functioning At Risk"))="Functioning At Risk"</formula>
    </cfRule>
    <cfRule type="beginsWith" dxfId="1709" priority="11" stopIfTrue="1" operator="beginsWith" text="Not Functioning">
      <formula>LEFT(C101,LEN("Not Functioning"))="Not Functioning"</formula>
    </cfRule>
    <cfRule type="containsText" dxfId="1708" priority="12" operator="containsText" text="Functioning">
      <formula>NOT(ISERROR(SEARCH("Functioning",C101)))</formula>
    </cfRule>
  </conditionalFormatting>
  <conditionalFormatting sqref="C97:C98">
    <cfRule type="beginsWith" dxfId="1707" priority="7" stopIfTrue="1" operator="beginsWith" text="Functioning At Risk">
      <formula>LEFT(C97,LEN("Functioning At Risk"))="Functioning At Risk"</formula>
    </cfRule>
    <cfRule type="beginsWith" dxfId="1706" priority="8" stopIfTrue="1" operator="beginsWith" text="Not Functioning">
      <formula>LEFT(C97,LEN("Not Functioning"))="Not Functioning"</formula>
    </cfRule>
    <cfRule type="containsText" dxfId="1705" priority="9" operator="containsText" text="Functioning">
      <formula>NOT(ISERROR(SEARCH("Functioning",C97)))</formula>
    </cfRule>
  </conditionalFormatting>
  <conditionalFormatting sqref="C95">
    <cfRule type="beginsWith" dxfId="1704" priority="4" stopIfTrue="1" operator="beginsWith" text="Functioning At Risk">
      <formula>LEFT(C95,LEN("Functioning At Risk"))="Functioning At Risk"</formula>
    </cfRule>
    <cfRule type="beginsWith" dxfId="1703" priority="5" stopIfTrue="1" operator="beginsWith" text="Not Functioning">
      <formula>LEFT(C95,LEN("Not Functioning"))="Not Functioning"</formula>
    </cfRule>
    <cfRule type="containsText" dxfId="1702" priority="6" operator="containsText" text="Functioning">
      <formula>NOT(ISERROR(SEARCH("Functioning",C95)))</formula>
    </cfRule>
  </conditionalFormatting>
  <conditionalFormatting sqref="C96">
    <cfRule type="beginsWith" dxfId="1701" priority="1" stopIfTrue="1" operator="beginsWith" text="Functioning At Risk">
      <formula>LEFT(C96,LEN("Functioning At Risk"))="Functioning At Risk"</formula>
    </cfRule>
    <cfRule type="beginsWith" dxfId="1700" priority="2" stopIfTrue="1" operator="beginsWith" text="Not Functioning">
      <formula>LEFT(C96,LEN("Not Functioning"))="Not Functioning"</formula>
    </cfRule>
    <cfRule type="containsText" dxfId="1699" priority="3" operator="containsText" text="Functioning">
      <formula>NOT(ISERROR(SEARCH("Functioning",C96)))</formula>
    </cfRule>
  </conditionalFormatting>
  <dataValidations xWindow="656" yWindow="505" count="18">
    <dataValidation type="list" allowBlank="1" showErrorMessage="1" sqref="B6:B7">
      <formula1>StreamType</formula1>
    </dataValidation>
    <dataValidation allowBlank="1" showErrorMessage="1" sqref="B9 E101 E63 E47 E85"/>
    <dataValidation type="list" allowBlank="1" showErrorMessage="1" sqref="B10">
      <formula1>BedMaterial</formula1>
    </dataValidation>
    <dataValidation type="list" allowBlank="1" showInputMessage="1" showErrorMessage="1" prompt="Select the dominant BEHI/NBS.  _x000a_If erosion rate was measured select blank. The user should only input a value for either BEHI/NBS or Erosion Rate, not both. " sqref="E91 E53">
      <formula1>BEHI.NBS</formula1>
    </dataValidation>
    <dataValidation type="list" allowBlank="1" showErrorMessage="1" sqref="B14">
      <formula1>Flow.Type</formula1>
    </dataValidation>
    <dataValidation type="list" allowBlank="1" showErrorMessage="1" sqref="B5">
      <formula1>Level</formula1>
    </dataValidation>
    <dataValidation type="list" allowBlank="1" showErrorMessage="1" sqref="B8">
      <formula1>Region</formula1>
    </dataValidation>
    <dataValidation type="list" allowBlank="1" showInputMessage="1" showErrorMessage="1" sqref="B15">
      <formula1>RiverBasins</formula1>
    </dataValidation>
    <dataValidation type="list" allowBlank="1" showErrorMessage="1" prompt="If coldwater stream enter stream temperature in field value. If not a coldwater stream leave blank." sqref="B16">
      <formula1>WaterTypes</formula1>
    </dataValidation>
    <dataValidation type="custom" allowBlank="1" showInputMessage="1" showErrorMessage="1" prompt="The user can only input a value for either leaf litter processing rate or shredders for organic matter, not both. " sqref="E109 E71">
      <formula1>E72=""</formula1>
    </dataValidation>
    <dataValidation type="custom" allowBlank="1" showInputMessage="1" showErrorMessage="1" prompt="The user can only input a value for either leaf litter processing rate or shredders for organic matter, not both. " sqref="E110 E72">
      <formula1>E71=""</formula1>
    </dataValidation>
    <dataValidation allowBlank="1" showErrorMessage="1" prompt="Leave field value blank if not a coldwater stream." sqref="E69"/>
    <dataValidation allowBlank="1" showErrorMessage="1" prompt="Select catchment conditon level from the completed catchment assessment form. " sqref="E82:E84 E44:E46"/>
    <dataValidation allowBlank="1" showInputMessage="1" showErrorMessage="1" prompt="The user should input a value for either BEHI/NBS or Erosion Rate, not both. " sqref="E90 E52"/>
    <dataValidation allowBlank="1" showInputMessage="1" showErrorMessage="1" prompt="This measurement method should be used in combination with either Erosion Rate or Dominant BEHI/NBS." sqref="E92 E54"/>
    <dataValidation allowBlank="1" showInputMessage="1" showErrorMessage="1" prompt="The user should input a value for either basal area or density, not both. " sqref="E61:E62 E99:E100"/>
    <dataValidation type="decimal" allowBlank="1" showInputMessage="1" showErrorMessage="1" sqref="E55:E58 E93:E96">
      <formula1>0</formula1>
      <formula2>5280</formula2>
    </dataValidation>
    <dataValidation type="decimal" allowBlank="1" showInputMessage="1" showErrorMessage="1" prompt="The user should input a value for either basal area or density, not both. " sqref="E59:E60 E97:E98">
      <formula1>0</formula1>
      <formula2>5280</formula2>
    </dataValidation>
  </dataValidations>
  <pageMargins left="0.25" right="0.25" top="0.75" bottom="0.75" header="0.3" footer="0.3"/>
  <pageSetup scale="59" fitToHeight="0" orientation="landscape" r:id="rId1"/>
  <rowBreaks count="4" manualBreakCount="4">
    <brk id="40" max="16383" man="1"/>
    <brk id="78" max="16383" man="1"/>
    <brk id="116" max="16383" man="1"/>
    <brk id="168" max="16383" man="1"/>
  </rowBreaks>
  <legacyDrawing r:id="rId2"/>
  <extLst>
    <ext xmlns:x14="http://schemas.microsoft.com/office/spreadsheetml/2009/9/main" uri="{CCE6A557-97BC-4b89-ADB6-D9C93CAAB3DF}">
      <x14:dataValidations xmlns:xm="http://schemas.microsoft.com/office/excel/2006/main" xWindow="656" yWindow="505" count="2">
        <x14:dataValidation type="list" allowBlank="1" showInputMessage="1" showErrorMessage="1">
          <x14:formula1>
            <xm:f>'Pull Down Notes'!$B$107:$B$109</xm:f>
          </x14:formula1>
          <xm:sqref>B17</xm:sqref>
        </x14:dataValidation>
        <x14:dataValidation type="list" allowBlank="1" showInputMessage="1" showErrorMessage="1">
          <x14:formula1>
            <xm:f>'Pull Down Notes'!$B$111:$B$114</xm:f>
          </x14:formula1>
          <xm:sqref>B18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Normal="100" workbookViewId="0">
      <selection activeCell="D4" sqref="D4:E4"/>
    </sheetView>
  </sheetViews>
  <sheetFormatPr defaultRowHeight="15" x14ac:dyDescent="0.25"/>
  <cols>
    <col min="1" max="1" width="32.42578125" customWidth="1"/>
    <col min="2" max="2" width="16.28515625" customWidth="1"/>
    <col min="4" max="4" width="44.85546875" customWidth="1"/>
    <col min="5" max="5" width="10.7109375" customWidth="1"/>
    <col min="7" max="7" width="43.5703125" customWidth="1"/>
    <col min="8" max="8" width="17" customWidth="1"/>
  </cols>
  <sheetData>
    <row r="1" spans="1:8" ht="18.75" x14ac:dyDescent="0.3">
      <c r="A1" s="548" t="s">
        <v>258</v>
      </c>
      <c r="B1" s="549"/>
      <c r="C1" s="64"/>
      <c r="D1" s="550" t="s">
        <v>85</v>
      </c>
      <c r="E1" s="550"/>
      <c r="F1" s="64"/>
      <c r="G1" s="550" t="s">
        <v>384</v>
      </c>
      <c r="H1" s="550"/>
    </row>
    <row r="2" spans="1:8" ht="15.75" x14ac:dyDescent="0.25">
      <c r="A2" s="332" t="s">
        <v>256</v>
      </c>
      <c r="B2" s="87"/>
      <c r="C2" s="64"/>
      <c r="D2" s="551" t="s">
        <v>385</v>
      </c>
      <c r="E2" s="551"/>
      <c r="F2" s="64"/>
      <c r="G2" s="544" t="s">
        <v>386</v>
      </c>
      <c r="H2" s="545"/>
    </row>
    <row r="3" spans="1:8" ht="15.75" x14ac:dyDescent="0.25">
      <c r="A3" s="332" t="s">
        <v>216</v>
      </c>
      <c r="B3" s="87"/>
      <c r="C3" s="64"/>
      <c r="D3" s="552" t="s">
        <v>357</v>
      </c>
      <c r="E3" s="552"/>
      <c r="F3" s="64"/>
      <c r="G3" s="330" t="s">
        <v>177</v>
      </c>
      <c r="H3" s="331">
        <f>IF('Quantification Tool'!G44="",1,'Quantification Tool'!G44)</f>
        <v>1</v>
      </c>
    </row>
    <row r="4" spans="1:8" ht="15.75" x14ac:dyDescent="0.25">
      <c r="A4" s="332" t="s">
        <v>83</v>
      </c>
      <c r="B4" s="87"/>
      <c r="C4" s="333"/>
      <c r="D4" s="558" t="s">
        <v>387</v>
      </c>
      <c r="E4" s="558"/>
      <c r="F4" s="64"/>
      <c r="G4" s="544" t="s">
        <v>1</v>
      </c>
      <c r="H4" s="545"/>
    </row>
    <row r="5" spans="1:8" ht="15.75" x14ac:dyDescent="0.25">
      <c r="A5" s="332" t="s">
        <v>82</v>
      </c>
      <c r="B5" s="87"/>
      <c r="C5" s="333"/>
      <c r="D5" s="64"/>
      <c r="E5" s="64"/>
      <c r="F5" s="64"/>
      <c r="G5" s="330" t="s">
        <v>78</v>
      </c>
      <c r="H5" s="331">
        <f>IF('Quantification Tool'!H23="",1,'Quantification Tool'!H23)</f>
        <v>1</v>
      </c>
    </row>
    <row r="6" spans="1:8" ht="15.75" x14ac:dyDescent="0.25">
      <c r="A6" s="63"/>
      <c r="B6" s="63"/>
      <c r="C6" s="333"/>
      <c r="D6" s="63"/>
      <c r="E6" s="63"/>
      <c r="F6" s="63"/>
      <c r="G6" s="334" t="s">
        <v>6</v>
      </c>
      <c r="H6" s="331">
        <f>IF('Quantification Tool'!H26="",1,'Quantification Tool'!H26)</f>
        <v>1</v>
      </c>
    </row>
    <row r="7" spans="1:8" ht="15.6" customHeight="1" x14ac:dyDescent="0.25">
      <c r="A7" s="546" t="s">
        <v>388</v>
      </c>
      <c r="B7" s="547"/>
      <c r="C7" s="557" t="s">
        <v>389</v>
      </c>
      <c r="D7" s="557"/>
      <c r="E7" s="557"/>
      <c r="F7" s="63"/>
      <c r="G7" s="335" t="s">
        <v>30</v>
      </c>
      <c r="H7" s="331">
        <f>IF('Quantification Tool'!H29="",1,'Quantification Tool'!H29)</f>
        <v>1</v>
      </c>
    </row>
    <row r="8" spans="1:8" ht="15.75" x14ac:dyDescent="0.25">
      <c r="A8" s="546"/>
      <c r="B8" s="547"/>
      <c r="C8" s="557"/>
      <c r="D8" s="557"/>
      <c r="E8" s="557"/>
      <c r="F8" s="63"/>
      <c r="G8" s="336" t="s">
        <v>68</v>
      </c>
      <c r="H8" s="331">
        <f>IF('Quantification Tool'!H33="",1,'Quantification Tool'!H33)</f>
        <v>1</v>
      </c>
    </row>
    <row r="9" spans="1:8" ht="15.75" x14ac:dyDescent="0.25">
      <c r="A9" s="546"/>
      <c r="B9" s="547"/>
      <c r="C9" s="557"/>
      <c r="D9" s="557"/>
      <c r="E9" s="557"/>
      <c r="F9" s="64"/>
      <c r="G9" s="337" t="s">
        <v>70</v>
      </c>
      <c r="H9" s="331">
        <f>IF('Quantification Tool'!H36="",1,'Quantification Tool'!H36)</f>
        <v>1</v>
      </c>
    </row>
    <row r="10" spans="1:8" x14ac:dyDescent="0.25">
      <c r="A10" s="546"/>
      <c r="B10" s="547"/>
      <c r="C10" s="557"/>
      <c r="D10" s="557"/>
      <c r="E10" s="557"/>
      <c r="F10" s="64"/>
      <c r="G10" s="544" t="s">
        <v>415</v>
      </c>
      <c r="H10" s="545"/>
    </row>
    <row r="11" spans="1:8" ht="21" x14ac:dyDescent="0.25">
      <c r="A11" s="361"/>
      <c r="B11" s="362"/>
      <c r="C11" s="363"/>
      <c r="D11" s="363"/>
      <c r="E11" s="64"/>
      <c r="F11" s="64"/>
      <c r="G11" s="364" t="s">
        <v>248</v>
      </c>
      <c r="H11" s="365">
        <f>ROUND(0.2*H5+0.2*H6+0.2*H7+0.2*H8+0.2*H9,2)</f>
        <v>1</v>
      </c>
    </row>
    <row r="12" spans="1:8" ht="21" x14ac:dyDescent="0.25">
      <c r="A12" s="553" t="s">
        <v>390</v>
      </c>
      <c r="B12" s="553"/>
      <c r="C12" s="339"/>
      <c r="D12" s="554" t="s">
        <v>391</v>
      </c>
      <c r="E12" s="554"/>
      <c r="F12" s="64"/>
      <c r="G12" s="366"/>
      <c r="H12" s="367"/>
    </row>
    <row r="13" spans="1:8" ht="16.5" thickBot="1" x14ac:dyDescent="0.3">
      <c r="A13" s="340" t="s">
        <v>259</v>
      </c>
      <c r="B13" s="341" t="s">
        <v>249</v>
      </c>
      <c r="C13" s="64"/>
      <c r="D13" s="342" t="s">
        <v>280</v>
      </c>
      <c r="E13" s="343">
        <f>IF(H11="","",H11)</f>
        <v>1</v>
      </c>
      <c r="F13" s="64"/>
      <c r="G13" s="64"/>
      <c r="H13" s="64"/>
    </row>
    <row r="14" spans="1:8" ht="32.25" thickTop="1" x14ac:dyDescent="0.25">
      <c r="A14" s="344">
        <f>IF(B7="",0,IF(B7="Tier 6",B17,IF(B7="Tier 5",B18,IF(B7="Tier 4",B19,IF(B7="Tier 3",B20,IF(B7="Tier 2",B21,IF(B7="Tier 1",B22,IF(B7="Tier 0",B23,0))))))))</f>
        <v>0</v>
      </c>
      <c r="B14" s="345">
        <f>IFERROR(ROUND(E13*A14,2), ROUND(0.2*AVERAGE(0,H3),2))</f>
        <v>0</v>
      </c>
      <c r="C14" s="64"/>
      <c r="D14" s="342" t="s">
        <v>281</v>
      </c>
      <c r="E14" s="343">
        <f>IF(B14="","",B14)</f>
        <v>0</v>
      </c>
      <c r="F14" s="64"/>
      <c r="G14" s="346" t="s">
        <v>392</v>
      </c>
      <c r="H14" s="347" t="s">
        <v>393</v>
      </c>
    </row>
    <row r="15" spans="1:8" ht="15.75" x14ac:dyDescent="0.25">
      <c r="A15" s="555"/>
      <c r="B15" s="556"/>
      <c r="C15" s="333"/>
      <c r="D15" s="342" t="s">
        <v>394</v>
      </c>
      <c r="E15" s="343">
        <f>IFERROR(E14-E13,"")</f>
        <v>-1</v>
      </c>
      <c r="F15" s="64"/>
      <c r="G15" s="348" t="s">
        <v>395</v>
      </c>
      <c r="H15" s="349">
        <v>0</v>
      </c>
    </row>
    <row r="16" spans="1:8" ht="26.25" thickBot="1" x14ac:dyDescent="0.3">
      <c r="A16" s="350" t="s">
        <v>393</v>
      </c>
      <c r="B16" s="350" t="s">
        <v>396</v>
      </c>
      <c r="C16" s="63"/>
      <c r="D16" s="342" t="s">
        <v>87</v>
      </c>
      <c r="E16" s="351" t="str">
        <f>IF(B4="","",B4)</f>
        <v/>
      </c>
      <c r="F16" s="64"/>
      <c r="G16" s="352" t="s">
        <v>397</v>
      </c>
      <c r="H16" s="353">
        <v>1</v>
      </c>
    </row>
    <row r="17" spans="1:8" ht="26.25" thickTop="1" x14ac:dyDescent="0.25">
      <c r="A17" s="354">
        <v>6</v>
      </c>
      <c r="B17" s="355">
        <v>0</v>
      </c>
      <c r="C17" s="63"/>
      <c r="D17" s="342" t="s">
        <v>164</v>
      </c>
      <c r="E17" s="351" t="str">
        <f>IF(B5="","",B5)</f>
        <v/>
      </c>
      <c r="F17" s="64"/>
      <c r="G17" s="352" t="s">
        <v>398</v>
      </c>
      <c r="H17" s="353">
        <v>2</v>
      </c>
    </row>
    <row r="18" spans="1:8" ht="25.5" x14ac:dyDescent="0.25">
      <c r="A18" s="356">
        <v>5</v>
      </c>
      <c r="B18" s="357" t="s">
        <v>399</v>
      </c>
      <c r="C18" s="63"/>
      <c r="D18" s="342" t="s">
        <v>400</v>
      </c>
      <c r="E18" s="351" t="str">
        <f>IFERROR(E17-E16,"")</f>
        <v/>
      </c>
      <c r="F18" s="63"/>
      <c r="G18" s="352" t="s">
        <v>401</v>
      </c>
      <c r="H18" s="353">
        <v>3</v>
      </c>
    </row>
    <row r="19" spans="1:8" ht="63.75" x14ac:dyDescent="0.25">
      <c r="A19" s="338">
        <v>4</v>
      </c>
      <c r="B19" s="338">
        <v>0.3</v>
      </c>
      <c r="C19" s="63"/>
      <c r="D19" s="342" t="s">
        <v>402</v>
      </c>
      <c r="E19" s="351" t="str">
        <f>IFERROR(E16*E13,"")</f>
        <v/>
      </c>
      <c r="F19" s="63"/>
      <c r="G19" s="352" t="s">
        <v>403</v>
      </c>
      <c r="H19" s="353">
        <v>4</v>
      </c>
    </row>
    <row r="20" spans="1:8" ht="51" x14ac:dyDescent="0.25">
      <c r="A20" s="338">
        <v>3</v>
      </c>
      <c r="B20" s="338">
        <v>0.7</v>
      </c>
      <c r="C20" s="63"/>
      <c r="D20" s="342" t="s">
        <v>404</v>
      </c>
      <c r="E20" s="351" t="str">
        <f>IFERROR(E17*E14,"")</f>
        <v/>
      </c>
      <c r="F20" s="63"/>
      <c r="G20" s="352" t="s">
        <v>405</v>
      </c>
      <c r="H20" s="353">
        <v>5</v>
      </c>
    </row>
    <row r="21" spans="1:8" ht="38.25" x14ac:dyDescent="0.25">
      <c r="A21" s="338">
        <v>2</v>
      </c>
      <c r="B21" s="338">
        <v>0.8</v>
      </c>
      <c r="C21" s="63"/>
      <c r="D21" s="342" t="s">
        <v>406</v>
      </c>
      <c r="E21" s="358" t="str">
        <f>IFERROR(E20-E19,"")</f>
        <v/>
      </c>
      <c r="F21" s="63"/>
      <c r="G21" s="348" t="s">
        <v>407</v>
      </c>
      <c r="H21" s="353">
        <v>6</v>
      </c>
    </row>
    <row r="22" spans="1:8" ht="15.75" x14ac:dyDescent="0.25">
      <c r="A22" s="338">
        <v>1</v>
      </c>
      <c r="B22" s="338">
        <v>0.9</v>
      </c>
      <c r="C22" s="63"/>
      <c r="D22" s="359" t="s">
        <v>408</v>
      </c>
      <c r="E22" s="360" t="str">
        <f>IFERROR(E21/E19,"")</f>
        <v/>
      </c>
      <c r="F22" s="63"/>
      <c r="G22" s="63"/>
      <c r="H22" s="63"/>
    </row>
    <row r="23" spans="1:8" x14ac:dyDescent="0.25">
      <c r="A23" s="338">
        <v>0</v>
      </c>
      <c r="B23" s="356">
        <v>1</v>
      </c>
      <c r="C23" s="63"/>
      <c r="D23" s="63"/>
      <c r="E23" s="63"/>
      <c r="F23" s="63"/>
      <c r="G23" s="63"/>
      <c r="H23" s="63"/>
    </row>
    <row r="24" spans="1:8" x14ac:dyDescent="0.25">
      <c r="A24" s="63"/>
      <c r="B24" s="63"/>
      <c r="C24" s="63"/>
      <c r="D24" s="63"/>
      <c r="E24" s="63"/>
      <c r="F24" s="63"/>
      <c r="G24" s="63"/>
      <c r="H24" s="63"/>
    </row>
  </sheetData>
  <sheetProtection algorithmName="SHA-512" hashValue="5mREbQ6L58tq1KnoGPtd/86H8p5xNM2GXsCA3hqjfufvtlJTgFpsxYQfg0nbIKr7sa3pkDUY6bLFpQfOzqZTRw==" saltValue="POb6CRlLv9uWjOi3V3oI6w==" spinCount="100000" sheet="1" objects="1" scenarios="1"/>
  <mergeCells count="15">
    <mergeCell ref="A12:B12"/>
    <mergeCell ref="D12:E12"/>
    <mergeCell ref="A15:B15"/>
    <mergeCell ref="C7:E10"/>
    <mergeCell ref="D4:E4"/>
    <mergeCell ref="G4:H4"/>
    <mergeCell ref="A7:A10"/>
    <mergeCell ref="B7:B10"/>
    <mergeCell ref="G10:H10"/>
    <mergeCell ref="A1:B1"/>
    <mergeCell ref="D1:E1"/>
    <mergeCell ref="G1:H1"/>
    <mergeCell ref="D2:E2"/>
    <mergeCell ref="G2:H2"/>
    <mergeCell ref="D3:E3"/>
  </mergeCells>
  <dataValidations count="1">
    <dataValidation type="decimal" allowBlank="1" showInputMessage="1" showErrorMessage="1" sqref="H3">
      <formula1>0</formula1>
      <formula2>1</formula2>
    </dataValidation>
  </dataValidations>
  <pageMargins left="0.7" right="0.7" top="0.75" bottom="0.75" header="0.3" footer="0.3"/>
  <pageSetup scale="94" fitToWidth="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 Down Notes'!$B$116:$B$123</xm:f>
          </x14:formula1>
          <xm:sqref>B7:B10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P1043"/>
  <sheetViews>
    <sheetView zoomScale="85" zoomScaleNormal="85" workbookViewId="0"/>
  </sheetViews>
  <sheetFormatPr defaultColWidth="9.28515625" defaultRowHeight="15" x14ac:dyDescent="0.25"/>
  <cols>
    <col min="1" max="50" width="11.7109375" style="14" customWidth="1"/>
    <col min="51" max="16384" width="9.28515625" style="14"/>
  </cols>
  <sheetData>
    <row r="1" spans="1:42" x14ac:dyDescent="0.25">
      <c r="A1" s="14" t="s">
        <v>323</v>
      </c>
    </row>
    <row r="2" spans="1:42" x14ac:dyDescent="0.25">
      <c r="A2" s="14" t="s">
        <v>324</v>
      </c>
    </row>
    <row r="3" spans="1:42" x14ac:dyDescent="0.25">
      <c r="A3" s="14" t="s">
        <v>327</v>
      </c>
    </row>
    <row r="5" spans="1:42" ht="15" customHeight="1" x14ac:dyDescent="0.25">
      <c r="B5" s="559" t="s">
        <v>149</v>
      </c>
      <c r="C5" s="559"/>
      <c r="D5" s="559"/>
      <c r="E5" s="559"/>
      <c r="F5" s="559"/>
      <c r="G5" s="559"/>
      <c r="H5" s="559"/>
      <c r="I5" s="242"/>
      <c r="J5" s="559" t="s">
        <v>148</v>
      </c>
      <c r="K5" s="559"/>
      <c r="L5" s="559"/>
      <c r="M5" s="559"/>
      <c r="N5" s="559"/>
      <c r="O5" s="559"/>
      <c r="P5" s="559"/>
      <c r="Q5" s="1"/>
      <c r="R5" s="559" t="s">
        <v>150</v>
      </c>
      <c r="S5" s="559"/>
      <c r="T5" s="559"/>
      <c r="U5" s="559"/>
      <c r="V5" s="559"/>
      <c r="W5" s="559"/>
      <c r="X5" s="559"/>
      <c r="Y5" s="559"/>
      <c r="AA5" s="559" t="s">
        <v>151</v>
      </c>
      <c r="AB5" s="559"/>
      <c r="AC5" s="559"/>
      <c r="AD5" s="559"/>
      <c r="AE5" s="559"/>
      <c r="AF5" s="559"/>
      <c r="AG5" s="559"/>
      <c r="AH5" s="559"/>
      <c r="AI5" s="2"/>
      <c r="AJ5" s="559" t="s">
        <v>152</v>
      </c>
      <c r="AK5" s="559"/>
      <c r="AL5" s="559"/>
      <c r="AM5" s="559"/>
      <c r="AN5" s="559"/>
      <c r="AO5" s="559"/>
      <c r="AP5" s="559"/>
    </row>
    <row r="6" spans="1:42" ht="15" customHeight="1" x14ac:dyDescent="0.25">
      <c r="A6" s="3"/>
      <c r="B6" s="559"/>
      <c r="C6" s="559"/>
      <c r="D6" s="559"/>
      <c r="E6" s="559"/>
      <c r="F6" s="559"/>
      <c r="G6" s="559"/>
      <c r="H6" s="559"/>
      <c r="I6" s="242"/>
      <c r="J6" s="559"/>
      <c r="K6" s="559"/>
      <c r="L6" s="559"/>
      <c r="M6" s="559"/>
      <c r="N6" s="559"/>
      <c r="O6" s="559"/>
      <c r="P6" s="559"/>
      <c r="Q6" s="1"/>
      <c r="R6" s="559"/>
      <c r="S6" s="559"/>
      <c r="T6" s="559"/>
      <c r="U6" s="559"/>
      <c r="V6" s="559"/>
      <c r="W6" s="559"/>
      <c r="X6" s="559"/>
      <c r="Y6" s="559"/>
      <c r="AA6" s="559"/>
      <c r="AB6" s="559"/>
      <c r="AC6" s="559"/>
      <c r="AD6" s="559"/>
      <c r="AE6" s="559"/>
      <c r="AF6" s="559"/>
      <c r="AG6" s="559"/>
      <c r="AH6" s="559"/>
      <c r="AI6" s="2"/>
      <c r="AJ6" s="559"/>
      <c r="AK6" s="559"/>
      <c r="AL6" s="559"/>
      <c r="AM6" s="559"/>
      <c r="AN6" s="559"/>
      <c r="AO6" s="559"/>
      <c r="AP6" s="559"/>
    </row>
    <row r="7" spans="1:42" x14ac:dyDescent="0.25">
      <c r="A7" s="3"/>
      <c r="B7" s="3"/>
      <c r="C7" s="3"/>
      <c r="D7" s="3"/>
      <c r="E7" s="3"/>
      <c r="F7" s="3"/>
      <c r="G7" s="3"/>
      <c r="H7" s="3"/>
      <c r="I7" s="3"/>
      <c r="M7" s="1"/>
      <c r="N7" s="1"/>
      <c r="O7" s="1"/>
      <c r="P7" s="1"/>
      <c r="Q7" s="1"/>
      <c r="R7" s="1"/>
      <c r="S7" s="1"/>
      <c r="T7" s="1"/>
      <c r="AG7" s="1"/>
    </row>
    <row r="8" spans="1:42" x14ac:dyDescent="0.25">
      <c r="J8" s="15"/>
      <c r="M8" s="1"/>
      <c r="N8" s="2"/>
      <c r="O8" s="2"/>
      <c r="P8" s="2"/>
      <c r="Q8" s="2"/>
      <c r="R8" s="2"/>
      <c r="S8" s="2"/>
      <c r="T8" s="2"/>
    </row>
    <row r="9" spans="1:42" ht="15.75" thickBot="1" x14ac:dyDescent="0.3">
      <c r="B9" s="14" t="s">
        <v>329</v>
      </c>
      <c r="J9" s="14" t="s">
        <v>0</v>
      </c>
      <c r="R9" s="14" t="s">
        <v>27</v>
      </c>
      <c r="AA9" s="14" t="s">
        <v>438</v>
      </c>
      <c r="AJ9" s="14" t="s">
        <v>94</v>
      </c>
    </row>
    <row r="10" spans="1:42" x14ac:dyDescent="0.25">
      <c r="B10" s="4" t="s">
        <v>15</v>
      </c>
      <c r="C10" s="379">
        <v>78.449629999999999</v>
      </c>
      <c r="D10" s="380"/>
      <c r="E10" s="380">
        <v>70</v>
      </c>
      <c r="F10" s="380"/>
      <c r="G10" s="380">
        <v>55</v>
      </c>
      <c r="H10" s="381">
        <v>30</v>
      </c>
      <c r="I10" s="241"/>
      <c r="J10" s="4" t="s">
        <v>15</v>
      </c>
      <c r="K10" s="5"/>
      <c r="L10" s="5">
        <v>1.6</v>
      </c>
      <c r="M10" s="5">
        <v>1.5</v>
      </c>
      <c r="N10" s="243"/>
      <c r="O10" s="5">
        <v>1.2</v>
      </c>
      <c r="P10" s="6">
        <v>1</v>
      </c>
      <c r="R10" s="4" t="s">
        <v>15</v>
      </c>
      <c r="S10" s="5">
        <v>0</v>
      </c>
      <c r="T10" s="5"/>
      <c r="U10" s="5">
        <v>200</v>
      </c>
      <c r="V10" s="5"/>
      <c r="W10" s="5">
        <v>300</v>
      </c>
      <c r="X10" s="6">
        <v>700</v>
      </c>
      <c r="AA10" s="4" t="s">
        <v>158</v>
      </c>
      <c r="AB10" s="5">
        <v>77</v>
      </c>
      <c r="AC10" s="5"/>
      <c r="AD10" s="5"/>
      <c r="AE10" s="5"/>
      <c r="AF10" s="5">
        <v>64</v>
      </c>
      <c r="AG10" s="6">
        <v>58</v>
      </c>
      <c r="AJ10" s="4" t="s">
        <v>4</v>
      </c>
      <c r="AK10" s="5">
        <v>6.53</v>
      </c>
      <c r="AL10" s="5"/>
      <c r="AM10" s="5">
        <v>5.62</v>
      </c>
      <c r="AN10" s="5"/>
      <c r="AO10" s="5">
        <v>4.7300000000000004</v>
      </c>
      <c r="AP10" s="6">
        <v>3.29</v>
      </c>
    </row>
    <row r="11" spans="1:42" ht="15.75" thickBot="1" x14ac:dyDescent="0.3">
      <c r="B11" s="7" t="s">
        <v>16</v>
      </c>
      <c r="C11" s="382">
        <v>0</v>
      </c>
      <c r="D11" s="382">
        <v>0.28999999999999998</v>
      </c>
      <c r="E11" s="383">
        <v>0.3</v>
      </c>
      <c r="F11" s="383">
        <v>0.69</v>
      </c>
      <c r="G11" s="384">
        <v>0.7</v>
      </c>
      <c r="H11" s="385">
        <v>1</v>
      </c>
      <c r="I11" s="2"/>
      <c r="J11" s="7" t="s">
        <v>16</v>
      </c>
      <c r="K11" s="8">
        <v>0</v>
      </c>
      <c r="L11" s="8">
        <v>0.2</v>
      </c>
      <c r="M11" s="9">
        <v>0.3</v>
      </c>
      <c r="N11" s="244">
        <v>0.69</v>
      </c>
      <c r="O11" s="10">
        <v>0.7</v>
      </c>
      <c r="P11" s="11">
        <v>1</v>
      </c>
      <c r="R11" s="7" t="s">
        <v>16</v>
      </c>
      <c r="S11" s="8">
        <v>0</v>
      </c>
      <c r="T11" s="8">
        <v>0.28999999999999998</v>
      </c>
      <c r="U11" s="9">
        <v>0.3</v>
      </c>
      <c r="V11" s="9">
        <v>0.69</v>
      </c>
      <c r="W11" s="10">
        <v>0.7</v>
      </c>
      <c r="X11" s="11">
        <v>1</v>
      </c>
      <c r="AA11" s="264" t="s">
        <v>159</v>
      </c>
      <c r="AB11" s="21">
        <v>97</v>
      </c>
      <c r="AC11" s="21"/>
      <c r="AD11" s="21"/>
      <c r="AE11" s="21"/>
      <c r="AF11" s="21"/>
      <c r="AG11" s="265">
        <v>67</v>
      </c>
      <c r="AJ11" s="7" t="s">
        <v>5</v>
      </c>
      <c r="AK11" s="8">
        <v>0</v>
      </c>
      <c r="AL11" s="8">
        <v>0.28999999999999998</v>
      </c>
      <c r="AM11" s="9">
        <v>0.3</v>
      </c>
      <c r="AN11" s="9">
        <v>0.69</v>
      </c>
      <c r="AO11" s="10">
        <v>0.7</v>
      </c>
      <c r="AP11" s="11">
        <v>1</v>
      </c>
    </row>
    <row r="12" spans="1:42" ht="15" customHeight="1" thickBot="1" x14ac:dyDescent="0.3">
      <c r="S12" s="374" t="s">
        <v>374</v>
      </c>
      <c r="T12" s="374"/>
      <c r="AA12" s="7" t="s">
        <v>5</v>
      </c>
      <c r="AB12" s="8">
        <v>0</v>
      </c>
      <c r="AC12" s="8">
        <v>0.28999999999999998</v>
      </c>
      <c r="AD12" s="9">
        <v>0.3</v>
      </c>
      <c r="AE12" s="9">
        <v>0.69</v>
      </c>
      <c r="AF12" s="10">
        <v>0.7</v>
      </c>
      <c r="AG12" s="11">
        <v>1</v>
      </c>
    </row>
    <row r="13" spans="1:42" ht="15" customHeight="1" x14ac:dyDescent="0.25">
      <c r="C13" s="179" t="s">
        <v>374</v>
      </c>
      <c r="D13" s="175"/>
      <c r="K13" s="179" t="s">
        <v>374</v>
      </c>
      <c r="R13" s="21"/>
      <c r="S13" s="21" t="s">
        <v>269</v>
      </c>
      <c r="T13" s="21" t="s">
        <v>443</v>
      </c>
      <c r="AA13" s="13"/>
      <c r="AB13" s="175" t="s">
        <v>366</v>
      </c>
      <c r="AC13" s="375"/>
      <c r="AE13" s="1"/>
      <c r="AF13" s="1"/>
      <c r="AG13" s="1"/>
      <c r="AH13" s="1"/>
      <c r="AK13" s="249" t="s">
        <v>374</v>
      </c>
      <c r="AL13" s="249"/>
    </row>
    <row r="14" spans="1:42" ht="15" customHeight="1" x14ac:dyDescent="0.25">
      <c r="B14" s="14" t="s">
        <v>259</v>
      </c>
      <c r="C14" s="14">
        <v>-3.6900000000000002E-4</v>
      </c>
      <c r="D14" s="13"/>
      <c r="F14" s="1"/>
      <c r="G14" s="181"/>
      <c r="H14" s="181"/>
      <c r="I14" s="175"/>
      <c r="J14" s="12" t="s">
        <v>259</v>
      </c>
      <c r="K14" s="13">
        <v>0.46610000000000001</v>
      </c>
      <c r="L14" s="13"/>
      <c r="R14" s="18" t="s">
        <v>259</v>
      </c>
      <c r="S14" s="21">
        <v>8.3299999999999999E-6</v>
      </c>
      <c r="T14" s="21"/>
      <c r="AB14" s="14" t="str">
        <f>AA10</f>
        <v>Coldwater</v>
      </c>
      <c r="AC14" s="13" t="str">
        <f>AA11</f>
        <v>Coolwater</v>
      </c>
      <c r="AE14" s="1"/>
      <c r="AF14" s="181"/>
      <c r="AG14" s="181"/>
      <c r="AH14" s="181"/>
      <c r="AJ14" s="13"/>
      <c r="AK14" s="178" t="s">
        <v>279</v>
      </c>
      <c r="AL14" s="189" t="s">
        <v>266</v>
      </c>
    </row>
    <row r="15" spans="1:42" x14ac:dyDescent="0.25">
      <c r="B15" s="13" t="s">
        <v>260</v>
      </c>
      <c r="C15" s="13">
        <v>1.9369999999999998E-2</v>
      </c>
      <c r="D15" s="13"/>
      <c r="F15" s="1"/>
      <c r="G15" s="1"/>
      <c r="H15" s="1"/>
      <c r="J15" s="12" t="s">
        <v>260</v>
      </c>
      <c r="K15" s="13">
        <v>-2.5550999999999999</v>
      </c>
      <c r="L15" s="13"/>
      <c r="R15" s="18" t="s">
        <v>260</v>
      </c>
      <c r="S15" s="21">
        <v>-1.6666700000000001E-4</v>
      </c>
      <c r="T15" s="21">
        <v>7.5000000000000002E-4</v>
      </c>
      <c r="AA15" s="183" t="s">
        <v>259</v>
      </c>
      <c r="AB15" s="13">
        <v>-5.28E-2</v>
      </c>
      <c r="AC15" s="13">
        <v>-3.3300000000000003E-2</v>
      </c>
      <c r="AE15" s="1"/>
      <c r="AF15" s="1"/>
      <c r="AG15" s="1"/>
      <c r="AH15" s="1"/>
      <c r="AJ15" s="183" t="s">
        <v>259</v>
      </c>
      <c r="AK15" s="13">
        <v>-0.10347848</v>
      </c>
      <c r="AL15" s="13">
        <v>-0.32967000000000002</v>
      </c>
    </row>
    <row r="16" spans="1:42" x14ac:dyDescent="0.25">
      <c r="B16" s="13" t="s">
        <v>267</v>
      </c>
      <c r="C16" s="13">
        <v>0.75079300000000004</v>
      </c>
      <c r="D16" s="13"/>
      <c r="F16" s="1"/>
      <c r="G16" s="1"/>
      <c r="H16" s="1"/>
      <c r="J16" s="12" t="s">
        <v>267</v>
      </c>
      <c r="K16" s="13">
        <v>3.0907</v>
      </c>
      <c r="L16" s="13"/>
      <c r="M16" s="16"/>
      <c r="R16" s="18" t="s">
        <v>267</v>
      </c>
      <c r="S16" s="1">
        <v>0</v>
      </c>
      <c r="T16" s="182">
        <v>0.47499999999999998</v>
      </c>
      <c r="AA16" s="183" t="s">
        <v>260</v>
      </c>
      <c r="AB16" s="13">
        <v>4.0708000000000002</v>
      </c>
      <c r="AC16" s="13">
        <v>3.2332999999999998</v>
      </c>
      <c r="AD16" s="16"/>
      <c r="AE16" s="1"/>
      <c r="AF16" s="1"/>
      <c r="AG16" s="1"/>
      <c r="AH16" s="1"/>
      <c r="AJ16" s="183" t="s">
        <v>260</v>
      </c>
      <c r="AK16" s="13">
        <v>0.62156411</v>
      </c>
      <c r="AL16" s="13">
        <v>2.1527470000000002</v>
      </c>
    </row>
    <row r="17" spans="2:39" x14ac:dyDescent="0.25">
      <c r="B17" s="13"/>
      <c r="C17" s="13"/>
      <c r="D17" s="146"/>
      <c r="F17" s="1"/>
      <c r="G17" s="1"/>
      <c r="H17" s="1"/>
      <c r="J17" s="13"/>
      <c r="K17" s="13"/>
      <c r="L17" s="146"/>
      <c r="R17" s="21"/>
      <c r="S17" s="1"/>
      <c r="T17" s="21"/>
      <c r="AA17" s="13"/>
      <c r="AB17" s="13"/>
      <c r="AC17" s="146"/>
      <c r="AE17" s="1"/>
      <c r="AF17" s="1"/>
      <c r="AG17" s="1"/>
      <c r="AH17" s="1"/>
      <c r="AJ17" s="183" t="s">
        <v>267</v>
      </c>
      <c r="AK17" s="13">
        <v>7.511553E-2</v>
      </c>
      <c r="AL17" s="13"/>
      <c r="AM17" s="16"/>
    </row>
    <row r="18" spans="2:39" x14ac:dyDescent="0.25">
      <c r="B18" s="1"/>
      <c r="J18" s="1"/>
      <c r="AA18" s="13"/>
      <c r="AB18" s="13"/>
      <c r="AC18" s="13"/>
      <c r="AJ18" s="13"/>
      <c r="AK18" s="13"/>
      <c r="AL18" s="146"/>
    </row>
    <row r="19" spans="2:39" x14ac:dyDescent="0.25">
      <c r="B19" s="1"/>
      <c r="J19" s="1"/>
    </row>
    <row r="43" spans="2:42" ht="15.75" thickBot="1" x14ac:dyDescent="0.3">
      <c r="B43" s="14" t="s">
        <v>330</v>
      </c>
      <c r="J43" s="13" t="s">
        <v>14</v>
      </c>
      <c r="K43" s="13"/>
      <c r="L43" s="13"/>
      <c r="M43" s="13"/>
      <c r="N43" s="13"/>
      <c r="O43" s="13"/>
      <c r="P43" s="13"/>
      <c r="R43" s="14" t="s">
        <v>370</v>
      </c>
      <c r="AA43" s="14" t="s">
        <v>90</v>
      </c>
      <c r="AJ43" s="14" t="s">
        <v>95</v>
      </c>
    </row>
    <row r="44" spans="2:42" x14ac:dyDescent="0.25">
      <c r="B44" s="4" t="s">
        <v>15</v>
      </c>
      <c r="C44" s="380" t="s">
        <v>333</v>
      </c>
      <c r="D44" s="380"/>
      <c r="E44" s="380">
        <v>3</v>
      </c>
      <c r="F44" s="380">
        <v>1</v>
      </c>
      <c r="G44" s="380"/>
      <c r="H44" s="381">
        <v>0</v>
      </c>
      <c r="J44" s="4" t="s">
        <v>15</v>
      </c>
      <c r="K44" s="20"/>
      <c r="L44" s="20"/>
      <c r="M44" s="20">
        <v>2</v>
      </c>
      <c r="N44" s="20"/>
      <c r="O44" s="20">
        <v>2.4</v>
      </c>
      <c r="P44" s="240">
        <v>5</v>
      </c>
      <c r="R44" s="4" t="s">
        <v>15</v>
      </c>
      <c r="S44" s="5">
        <v>0</v>
      </c>
      <c r="T44" s="5"/>
      <c r="U44" s="5">
        <v>10</v>
      </c>
      <c r="V44" s="5">
        <v>15</v>
      </c>
      <c r="W44" s="5"/>
      <c r="X44" s="6">
        <v>30</v>
      </c>
      <c r="AA44" s="4" t="s">
        <v>4</v>
      </c>
      <c r="AB44" s="220">
        <f>-AB49/AB48</f>
        <v>342.88461538461536</v>
      </c>
      <c r="AC44" s="5"/>
      <c r="AD44" s="5">
        <v>229</v>
      </c>
      <c r="AE44" s="5">
        <v>78</v>
      </c>
      <c r="AF44" s="5"/>
      <c r="AG44" s="6"/>
      <c r="AJ44" s="4" t="s">
        <v>4</v>
      </c>
      <c r="AK44" s="5">
        <v>6.92</v>
      </c>
      <c r="AL44" s="5"/>
      <c r="AM44" s="5">
        <v>5.85</v>
      </c>
      <c r="AN44" s="5"/>
      <c r="AO44" s="5">
        <v>5.18</v>
      </c>
      <c r="AP44" s="6">
        <v>4.3</v>
      </c>
    </row>
    <row r="45" spans="2:42" ht="15.75" thickBot="1" x14ac:dyDescent="0.3">
      <c r="B45" s="7" t="s">
        <v>16</v>
      </c>
      <c r="C45" s="8">
        <v>0</v>
      </c>
      <c r="D45" s="8">
        <v>0.28999999999999998</v>
      </c>
      <c r="E45" s="9">
        <v>0.3</v>
      </c>
      <c r="F45" s="9">
        <v>0.69</v>
      </c>
      <c r="G45" s="10">
        <v>0.7</v>
      </c>
      <c r="H45" s="11">
        <v>1</v>
      </c>
      <c r="J45" s="7" t="s">
        <v>16</v>
      </c>
      <c r="K45" s="8">
        <v>0</v>
      </c>
      <c r="L45" s="8">
        <v>0.28999999999999998</v>
      </c>
      <c r="M45" s="9">
        <v>0.3</v>
      </c>
      <c r="N45" s="9">
        <v>0.6</v>
      </c>
      <c r="O45" s="10">
        <v>0.7</v>
      </c>
      <c r="P45" s="11">
        <v>1</v>
      </c>
      <c r="R45" s="7" t="s">
        <v>16</v>
      </c>
      <c r="S45" s="8">
        <v>0</v>
      </c>
      <c r="T45" s="8">
        <v>0.28999999999999998</v>
      </c>
      <c r="U45" s="9">
        <v>0.3</v>
      </c>
      <c r="V45" s="9">
        <v>0.69</v>
      </c>
      <c r="W45" s="10">
        <v>0.7</v>
      </c>
      <c r="X45" s="11">
        <v>1</v>
      </c>
      <c r="AA45" s="7" t="s">
        <v>5</v>
      </c>
      <c r="AB45" s="8">
        <v>0</v>
      </c>
      <c r="AC45" s="8">
        <v>0.2</v>
      </c>
      <c r="AD45" s="9">
        <v>0.3</v>
      </c>
      <c r="AE45" s="9">
        <v>0.69</v>
      </c>
      <c r="AF45" s="10">
        <v>0.7</v>
      </c>
      <c r="AG45" s="11">
        <v>1</v>
      </c>
      <c r="AJ45" s="7" t="s">
        <v>5</v>
      </c>
      <c r="AK45" s="8">
        <v>0</v>
      </c>
      <c r="AL45" s="8">
        <v>0.28999999999999998</v>
      </c>
      <c r="AM45" s="9">
        <v>0.3</v>
      </c>
      <c r="AN45" s="9">
        <v>0.69</v>
      </c>
      <c r="AO45" s="10">
        <v>0.7</v>
      </c>
      <c r="AP45" s="11">
        <v>1</v>
      </c>
    </row>
    <row r="46" spans="2:42" x14ac:dyDescent="0.25">
      <c r="S46" s="374" t="s">
        <v>374</v>
      </c>
      <c r="T46" s="373"/>
    </row>
    <row r="47" spans="2:42" x14ac:dyDescent="0.25">
      <c r="C47" s="175" t="s">
        <v>366</v>
      </c>
      <c r="D47" s="175"/>
      <c r="I47" s="55"/>
      <c r="K47" s="175" t="s">
        <v>366</v>
      </c>
      <c r="L47" s="175"/>
      <c r="R47" s="21"/>
      <c r="S47" s="21" t="s">
        <v>269</v>
      </c>
      <c r="T47" s="21" t="s">
        <v>443</v>
      </c>
      <c r="AA47" s="13"/>
      <c r="AB47" s="175" t="s">
        <v>366</v>
      </c>
      <c r="AC47" s="13"/>
      <c r="AK47" s="175" t="s">
        <v>374</v>
      </c>
      <c r="AL47" s="175"/>
    </row>
    <row r="48" spans="2:42" x14ac:dyDescent="0.25">
      <c r="B48" s="14" t="s">
        <v>259</v>
      </c>
      <c r="C48" s="14">
        <v>-0.19500000000000001</v>
      </c>
      <c r="D48" s="13"/>
      <c r="F48" s="1"/>
      <c r="G48" s="181"/>
      <c r="H48" s="181"/>
      <c r="I48" s="2"/>
      <c r="K48" s="238" t="s">
        <v>166</v>
      </c>
      <c r="L48" s="238" t="s">
        <v>319</v>
      </c>
      <c r="R48" s="18" t="s">
        <v>259</v>
      </c>
      <c r="S48" s="316">
        <v>3.2000000000000002E-3</v>
      </c>
      <c r="T48" s="21"/>
      <c r="AA48" s="183" t="s">
        <v>259</v>
      </c>
      <c r="AB48" s="13">
        <v>-2.5999999999999999E-3</v>
      </c>
      <c r="AC48" s="13"/>
      <c r="AK48" s="178" t="s">
        <v>279</v>
      </c>
      <c r="AL48" s="189" t="s">
        <v>266</v>
      </c>
    </row>
    <row r="49" spans="2:39" x14ac:dyDescent="0.25">
      <c r="B49" s="13" t="s">
        <v>260</v>
      </c>
      <c r="C49" s="13">
        <v>0.88500000000000001</v>
      </c>
      <c r="D49" s="13"/>
      <c r="F49" s="1"/>
      <c r="G49" s="1"/>
      <c r="H49" s="1"/>
      <c r="J49" s="12" t="s">
        <v>259</v>
      </c>
      <c r="K49" s="13">
        <v>0.1154</v>
      </c>
      <c r="L49" s="13">
        <v>1</v>
      </c>
      <c r="R49" s="18" t="s">
        <v>260</v>
      </c>
      <c r="S49" s="316">
        <v>-2E-3</v>
      </c>
      <c r="T49">
        <v>2.0667000000000001E-2</v>
      </c>
      <c r="AA49" s="183" t="s">
        <v>260</v>
      </c>
      <c r="AB49" s="2">
        <v>0.89149999999999996</v>
      </c>
      <c r="AC49" s="13"/>
      <c r="AF49" s="181"/>
      <c r="AG49" s="181"/>
      <c r="AH49" s="181"/>
      <c r="AJ49" s="183" t="s">
        <v>259</v>
      </c>
      <c r="AK49" s="13">
        <v>-0.16520000000000001</v>
      </c>
      <c r="AL49" s="13">
        <v>-0.28039999999999998</v>
      </c>
    </row>
    <row r="50" spans="2:39" x14ac:dyDescent="0.25">
      <c r="B50" s="13"/>
      <c r="C50" s="13"/>
      <c r="D50" s="13"/>
      <c r="F50" s="1"/>
      <c r="G50" s="1"/>
      <c r="H50" s="1"/>
      <c r="J50" s="12" t="s">
        <v>260</v>
      </c>
      <c r="K50" s="13">
        <v>0.42309999999999998</v>
      </c>
      <c r="L50" s="13">
        <v>-1.7</v>
      </c>
      <c r="R50" s="18" t="s">
        <v>267</v>
      </c>
      <c r="S50" s="316">
        <v>2.44249E-15</v>
      </c>
      <c r="T50">
        <v>0.38</v>
      </c>
      <c r="AA50" s="13"/>
      <c r="AB50" s="13"/>
      <c r="AC50" s="13"/>
      <c r="AF50" s="1"/>
      <c r="AG50" s="1"/>
      <c r="AH50" s="1"/>
      <c r="AJ50" s="183" t="s">
        <v>260</v>
      </c>
      <c r="AK50" s="13">
        <v>1.2255</v>
      </c>
      <c r="AL50" s="13">
        <v>1.9401999999999999</v>
      </c>
    </row>
    <row r="51" spans="2:39" x14ac:dyDescent="0.25">
      <c r="B51" s="13"/>
      <c r="C51" s="13"/>
      <c r="D51" s="146"/>
      <c r="F51" s="1"/>
      <c r="G51" s="1"/>
      <c r="H51" s="1"/>
      <c r="J51" s="12"/>
      <c r="K51" s="13"/>
      <c r="L51" s="146"/>
      <c r="AA51" s="13"/>
      <c r="AB51" s="13"/>
      <c r="AC51" s="13"/>
      <c r="AD51" s="16"/>
      <c r="AF51" s="1"/>
      <c r="AG51" s="1"/>
      <c r="AH51" s="1"/>
      <c r="AJ51" s="183" t="s">
        <v>267</v>
      </c>
      <c r="AK51" s="13">
        <v>-1.2143999999999999</v>
      </c>
      <c r="AL51" s="13"/>
    </row>
    <row r="52" spans="2:39" x14ac:dyDescent="0.25">
      <c r="B52" s="1"/>
      <c r="I52" s="181"/>
      <c r="J52" s="13"/>
      <c r="K52" s="13"/>
      <c r="L52" s="13"/>
      <c r="AA52" s="13"/>
      <c r="AB52" s="13"/>
      <c r="AC52" s="146"/>
      <c r="AF52" s="1"/>
      <c r="AG52" s="1"/>
      <c r="AH52" s="1"/>
      <c r="AJ52" s="13"/>
      <c r="AK52" s="13"/>
      <c r="AL52" s="13"/>
      <c r="AM52" s="16"/>
    </row>
    <row r="53" spans="2:39" x14ac:dyDescent="0.25">
      <c r="B53" s="1"/>
      <c r="I53" s="1"/>
      <c r="AJ53" s="13"/>
      <c r="AK53" s="13"/>
      <c r="AL53" s="146"/>
    </row>
    <row r="54" spans="2:39" x14ac:dyDescent="0.25">
      <c r="I54" s="1"/>
    </row>
    <row r="55" spans="2:39" x14ac:dyDescent="0.25">
      <c r="I55" s="1"/>
    </row>
    <row r="66" spans="1:42" x14ac:dyDescent="0.25">
      <c r="J66" s="15"/>
    </row>
    <row r="76" spans="1:42" x14ac:dyDescent="0.25">
      <c r="A76" s="21"/>
      <c r="B76" s="21"/>
      <c r="C76" s="21"/>
      <c r="D76" s="21"/>
      <c r="E76" s="21"/>
      <c r="F76" s="21"/>
      <c r="G76" s="21"/>
      <c r="H76" s="21"/>
      <c r="I76" s="21"/>
    </row>
    <row r="77" spans="1:42" x14ac:dyDescent="0.25">
      <c r="A77" s="21"/>
      <c r="B77" s="261"/>
      <c r="C77" s="262"/>
      <c r="D77" s="261"/>
      <c r="E77" s="261"/>
      <c r="F77" s="261"/>
      <c r="G77" s="261"/>
      <c r="H77" s="262"/>
      <c r="I77" s="21"/>
    </row>
    <row r="78" spans="1:42" ht="15.75" thickBot="1" x14ac:dyDescent="0.3">
      <c r="A78" s="21"/>
      <c r="B78" s="21" t="s">
        <v>373</v>
      </c>
      <c r="C78" s="262"/>
      <c r="D78" s="261"/>
      <c r="E78" s="261"/>
      <c r="F78" s="261"/>
      <c r="G78" s="261"/>
      <c r="H78" s="262"/>
      <c r="I78" s="21"/>
      <c r="J78" s="13" t="s">
        <v>199</v>
      </c>
      <c r="K78" s="13"/>
      <c r="L78" s="13"/>
      <c r="M78" s="13"/>
      <c r="N78" s="13"/>
      <c r="O78" s="13"/>
      <c r="P78" s="13"/>
      <c r="R78" s="14" t="s">
        <v>156</v>
      </c>
      <c r="AA78" s="14" t="s">
        <v>322</v>
      </c>
      <c r="AJ78" s="14" t="s">
        <v>263</v>
      </c>
    </row>
    <row r="79" spans="1:42" x14ac:dyDescent="0.25">
      <c r="B79" s="4" t="s">
        <v>15</v>
      </c>
      <c r="C79" s="386">
        <v>0</v>
      </c>
      <c r="D79" s="387"/>
      <c r="E79" s="387">
        <v>6</v>
      </c>
      <c r="F79" s="387"/>
      <c r="G79" s="387"/>
      <c r="H79" s="381">
        <v>30</v>
      </c>
      <c r="J79" s="4" t="s">
        <v>15</v>
      </c>
      <c r="K79" s="5"/>
      <c r="L79" s="5"/>
      <c r="M79" s="5">
        <v>1.2</v>
      </c>
      <c r="N79" s="5"/>
      <c r="O79" s="5">
        <v>1.4</v>
      </c>
      <c r="P79" s="6">
        <v>2.2000000000000002</v>
      </c>
      <c r="R79" s="4" t="s">
        <v>15</v>
      </c>
      <c r="S79" s="5">
        <v>0.71</v>
      </c>
      <c r="T79" s="220">
        <v>0.41170000000000001</v>
      </c>
      <c r="U79" s="5">
        <v>0.4</v>
      </c>
      <c r="V79" s="245"/>
      <c r="W79" s="5">
        <v>0.19</v>
      </c>
      <c r="X79" s="6">
        <v>0.1</v>
      </c>
      <c r="AA79" s="4" t="s">
        <v>4</v>
      </c>
      <c r="AB79" s="266">
        <f>(AB80-AB84)/AB83</f>
        <v>85.230769230769226</v>
      </c>
      <c r="AC79" s="5"/>
      <c r="AD79" s="5">
        <v>66</v>
      </c>
      <c r="AE79" s="5">
        <v>41</v>
      </c>
      <c r="AF79" s="5"/>
      <c r="AG79" s="6"/>
      <c r="AJ79" s="4" t="s">
        <v>4</v>
      </c>
      <c r="AK79" s="5">
        <v>10</v>
      </c>
      <c r="AL79" s="180"/>
      <c r="AM79" s="5">
        <v>19</v>
      </c>
      <c r="AN79" s="5"/>
      <c r="AO79" s="5">
        <v>28</v>
      </c>
      <c r="AP79" s="6">
        <v>36</v>
      </c>
    </row>
    <row r="80" spans="1:42" ht="15.75" thickBot="1" x14ac:dyDescent="0.3">
      <c r="B80" s="7" t="s">
        <v>16</v>
      </c>
      <c r="C80" s="8">
        <v>0</v>
      </c>
      <c r="D80" s="8">
        <v>0.28999999999999998</v>
      </c>
      <c r="E80" s="9">
        <v>0.3</v>
      </c>
      <c r="F80" s="9">
        <v>0.69</v>
      </c>
      <c r="G80" s="10">
        <v>0.7</v>
      </c>
      <c r="H80" s="11">
        <v>1</v>
      </c>
      <c r="J80" s="7" t="s">
        <v>16</v>
      </c>
      <c r="K80" s="8">
        <v>0</v>
      </c>
      <c r="L80" s="8">
        <v>0.28999999999999998</v>
      </c>
      <c r="M80" s="9">
        <v>0.3</v>
      </c>
      <c r="N80" s="9">
        <v>0.69</v>
      </c>
      <c r="O80" s="10">
        <v>0.7</v>
      </c>
      <c r="P80" s="11">
        <v>1</v>
      </c>
      <c r="R80" s="7" t="s">
        <v>16</v>
      </c>
      <c r="S80" s="8">
        <v>0</v>
      </c>
      <c r="T80" s="8">
        <v>0.28999999999999998</v>
      </c>
      <c r="U80" s="9">
        <v>0.3</v>
      </c>
      <c r="V80" s="9">
        <v>0.69</v>
      </c>
      <c r="W80" s="10">
        <v>0.7</v>
      </c>
      <c r="X80" s="11">
        <v>1</v>
      </c>
      <c r="AA80" s="7" t="s">
        <v>5</v>
      </c>
      <c r="AB80" s="8">
        <v>0</v>
      </c>
      <c r="AC80" s="8">
        <v>0.2</v>
      </c>
      <c r="AD80" s="9">
        <v>0.3</v>
      </c>
      <c r="AE80" s="9">
        <v>0.69</v>
      </c>
      <c r="AF80" s="10">
        <v>0.7</v>
      </c>
      <c r="AG80" s="11">
        <v>1</v>
      </c>
      <c r="AJ80" s="7" t="s">
        <v>5</v>
      </c>
      <c r="AK80" s="8">
        <v>0</v>
      </c>
      <c r="AL80" s="8">
        <v>0.28999999999999998</v>
      </c>
      <c r="AM80" s="9">
        <v>0.3</v>
      </c>
      <c r="AN80" s="9">
        <v>0.69</v>
      </c>
      <c r="AO80" s="10">
        <v>0.7</v>
      </c>
      <c r="AP80" s="11">
        <v>1</v>
      </c>
    </row>
    <row r="81" spans="2:40" x14ac:dyDescent="0.25">
      <c r="AJ81" s="13"/>
      <c r="AK81" s="13"/>
      <c r="AL81" s="13"/>
    </row>
    <row r="82" spans="2:40" x14ac:dyDescent="0.25">
      <c r="C82" s="179" t="s">
        <v>374</v>
      </c>
      <c r="D82" s="175"/>
      <c r="E82" s="175"/>
      <c r="J82" s="13"/>
      <c r="K82" s="175" t="s">
        <v>366</v>
      </c>
      <c r="L82" s="175"/>
      <c r="R82" s="21"/>
      <c r="S82" s="179" t="s">
        <v>444</v>
      </c>
      <c r="AA82" s="13"/>
      <c r="AB82" s="175" t="s">
        <v>366</v>
      </c>
      <c r="AC82" s="13"/>
      <c r="AJ82" s="175"/>
      <c r="AK82" s="179" t="s">
        <v>444</v>
      </c>
      <c r="AL82" s="13"/>
    </row>
    <row r="83" spans="2:40" x14ac:dyDescent="0.25">
      <c r="B83" s="1" t="s">
        <v>259</v>
      </c>
      <c r="C83" s="14">
        <v>-6.9999999999999999E-4</v>
      </c>
      <c r="D83" s="13"/>
      <c r="F83" s="1"/>
      <c r="G83" s="181"/>
      <c r="H83" s="181"/>
      <c r="J83" s="13"/>
      <c r="K83" s="223" t="s">
        <v>269</v>
      </c>
      <c r="L83" s="223" t="s">
        <v>166</v>
      </c>
      <c r="R83" s="18" t="s">
        <v>259</v>
      </c>
      <c r="S83" s="21">
        <v>-4.976</v>
      </c>
      <c r="T83" s="13"/>
      <c r="AA83" s="183" t="s">
        <v>259</v>
      </c>
      <c r="AB83" s="13">
        <v>-1.5599999999999999E-2</v>
      </c>
      <c r="AC83" s="13"/>
      <c r="AJ83" s="163" t="s">
        <v>259</v>
      </c>
      <c r="AK83" s="14">
        <v>-4.0000000000000003E-5</v>
      </c>
      <c r="AL83" s="13"/>
      <c r="AN83" s="179"/>
    </row>
    <row r="84" spans="2:40" x14ac:dyDescent="0.25">
      <c r="B84" s="14" t="s">
        <v>260</v>
      </c>
      <c r="C84" s="14">
        <v>5.4199999999999998E-2</v>
      </c>
      <c r="D84" s="13"/>
      <c r="F84" s="1"/>
      <c r="G84" s="1"/>
      <c r="H84" s="1"/>
      <c r="J84" s="12" t="s">
        <v>259</v>
      </c>
      <c r="K84" s="13">
        <v>2</v>
      </c>
      <c r="L84" s="13">
        <v>0.375</v>
      </c>
      <c r="R84" s="18" t="s">
        <v>260</v>
      </c>
      <c r="S84" s="21">
        <v>8.24</v>
      </c>
      <c r="T84" s="13"/>
      <c r="AA84" s="183" t="s">
        <v>260</v>
      </c>
      <c r="AB84" s="2">
        <v>1.3295999999999999</v>
      </c>
      <c r="AC84" s="13"/>
      <c r="AE84" s="1"/>
      <c r="AF84" s="181"/>
      <c r="AG84" s="181"/>
      <c r="AH84" s="181"/>
      <c r="AJ84" s="163" t="s">
        <v>260</v>
      </c>
      <c r="AK84" s="14">
        <v>2.8999999999999998E-3</v>
      </c>
      <c r="AL84" s="146"/>
      <c r="AM84" s="16"/>
    </row>
    <row r="85" spans="2:40" x14ac:dyDescent="0.25">
      <c r="B85" s="13" t="s">
        <v>267</v>
      </c>
      <c r="C85" s="13">
        <v>0</v>
      </c>
      <c r="D85" s="13"/>
      <c r="F85" s="1"/>
      <c r="G85" s="1"/>
      <c r="H85" s="1"/>
      <c r="J85" s="12" t="s">
        <v>260</v>
      </c>
      <c r="K85" s="13">
        <v>-2.1</v>
      </c>
      <c r="L85" s="13">
        <v>0.17499999999999999</v>
      </c>
      <c r="R85" s="18" t="s">
        <v>267</v>
      </c>
      <c r="S85" s="1">
        <v>-5.40198</v>
      </c>
      <c r="T85" s="13"/>
      <c r="U85" s="19"/>
      <c r="AA85" s="13"/>
      <c r="AB85" s="13"/>
      <c r="AC85" s="13"/>
      <c r="AE85" s="1"/>
      <c r="AF85" s="1"/>
      <c r="AG85" s="1"/>
      <c r="AH85" s="1"/>
      <c r="AJ85" s="12" t="s">
        <v>267</v>
      </c>
      <c r="AK85" s="13">
        <v>-2.41E-2</v>
      </c>
      <c r="AL85" s="146"/>
    </row>
    <row r="86" spans="2:40" x14ac:dyDescent="0.25">
      <c r="B86" s="13"/>
      <c r="C86" s="13"/>
      <c r="D86" s="146"/>
      <c r="F86" s="1"/>
      <c r="G86" s="1"/>
      <c r="H86" s="1"/>
      <c r="J86" s="12"/>
      <c r="K86" s="13"/>
      <c r="L86" s="146"/>
      <c r="R86" s="183" t="s">
        <v>268</v>
      </c>
      <c r="S86" s="1">
        <v>1.4630000000000001</v>
      </c>
      <c r="T86" s="13"/>
      <c r="U86" s="16"/>
      <c r="AA86" s="13"/>
      <c r="AB86" s="13"/>
      <c r="AC86" s="13"/>
      <c r="AD86" s="16"/>
      <c r="AE86" s="1"/>
      <c r="AF86" s="1"/>
      <c r="AG86" s="1"/>
      <c r="AH86" s="1"/>
      <c r="AJ86" s="12" t="s">
        <v>268</v>
      </c>
      <c r="AK86" s="13">
        <v>-6.1999999999999998E-3</v>
      </c>
    </row>
    <row r="87" spans="2:40" x14ac:dyDescent="0.25">
      <c r="B87" s="1"/>
      <c r="R87" s="13"/>
      <c r="S87" s="13"/>
      <c r="T87" s="146"/>
      <c r="AA87" s="13"/>
      <c r="AB87" s="13"/>
      <c r="AC87" s="146"/>
      <c r="AE87" s="1"/>
      <c r="AF87" s="1"/>
      <c r="AG87" s="1"/>
      <c r="AH87" s="1"/>
    </row>
    <row r="88" spans="2:40" x14ac:dyDescent="0.25">
      <c r="B88" s="1"/>
    </row>
    <row r="97" spans="2:42" x14ac:dyDescent="0.25">
      <c r="M97" s="1"/>
      <c r="N97" s="2"/>
      <c r="O97" s="2"/>
      <c r="P97" s="2"/>
    </row>
    <row r="98" spans="2:42" x14ac:dyDescent="0.25">
      <c r="M98" s="1"/>
      <c r="N98" s="2"/>
      <c r="O98" s="2"/>
      <c r="P98" s="2"/>
    </row>
    <row r="99" spans="2:42" x14ac:dyDescent="0.25">
      <c r="N99" s="1"/>
      <c r="O99" s="1"/>
      <c r="P99" s="1"/>
    </row>
    <row r="100" spans="2:42" x14ac:dyDescent="0.25">
      <c r="N100" s="1"/>
      <c r="O100" s="1"/>
      <c r="P100" s="1"/>
    </row>
    <row r="101" spans="2:42" x14ac:dyDescent="0.25">
      <c r="N101" s="1"/>
      <c r="O101" s="1"/>
      <c r="P101" s="1"/>
    </row>
    <row r="102" spans="2:42" x14ac:dyDescent="0.25">
      <c r="N102" s="1"/>
      <c r="O102" s="1"/>
      <c r="P102" s="1"/>
    </row>
    <row r="103" spans="2:42" x14ac:dyDescent="0.25">
      <c r="N103" s="2"/>
      <c r="O103" s="2"/>
      <c r="P103" s="2"/>
    </row>
    <row r="104" spans="2:42" x14ac:dyDescent="0.25">
      <c r="N104" s="2"/>
      <c r="O104" s="2"/>
      <c r="P104" s="2"/>
    </row>
    <row r="105" spans="2:42" x14ac:dyDescent="0.25">
      <c r="N105" s="1"/>
      <c r="O105" s="1"/>
      <c r="P105" s="1"/>
    </row>
    <row r="106" spans="2:42" x14ac:dyDescent="0.25">
      <c r="N106" s="1"/>
      <c r="O106" s="1"/>
      <c r="P106" s="1"/>
    </row>
    <row r="107" spans="2:42" x14ac:dyDescent="0.25">
      <c r="N107" s="1"/>
      <c r="O107" s="1"/>
      <c r="P107" s="1"/>
    </row>
    <row r="108" spans="2:42" x14ac:dyDescent="0.25">
      <c r="N108" s="1"/>
      <c r="O108" s="1"/>
      <c r="P108" s="1"/>
    </row>
    <row r="109" spans="2:42" x14ac:dyDescent="0.25">
      <c r="N109" s="1"/>
      <c r="O109" s="1"/>
      <c r="P109" s="1"/>
    </row>
    <row r="110" spans="2:42" x14ac:dyDescent="0.25">
      <c r="N110" s="1"/>
      <c r="O110" s="1"/>
      <c r="P110" s="1"/>
    </row>
    <row r="111" spans="2:42" ht="15.75" thickBot="1" x14ac:dyDescent="0.3">
      <c r="B111" s="14" t="s">
        <v>332</v>
      </c>
      <c r="M111" s="1"/>
      <c r="N111" s="1"/>
      <c r="O111" s="1"/>
      <c r="P111" s="1"/>
      <c r="AA111" s="14" t="s">
        <v>196</v>
      </c>
      <c r="AJ111" s="14" t="s">
        <v>262</v>
      </c>
    </row>
    <row r="112" spans="2:42" x14ac:dyDescent="0.25">
      <c r="B112" s="4" t="s">
        <v>15</v>
      </c>
      <c r="C112" s="176">
        <f>(C113-0.4471)/-0.0059</f>
        <v>75.779661016949149</v>
      </c>
      <c r="D112" s="5">
        <v>26</v>
      </c>
      <c r="E112" s="176">
        <v>25</v>
      </c>
      <c r="F112" s="5">
        <v>10</v>
      </c>
      <c r="G112" s="5">
        <v>9</v>
      </c>
      <c r="H112" s="6">
        <v>0</v>
      </c>
      <c r="M112" s="1"/>
      <c r="N112" s="1"/>
      <c r="O112" s="1"/>
      <c r="P112" s="1"/>
      <c r="AA112" s="4" t="s">
        <v>4</v>
      </c>
      <c r="AB112" s="197">
        <f>(AB113-AB117)/AB116</f>
        <v>284.25241614553727</v>
      </c>
      <c r="AC112" s="62"/>
      <c r="AD112" s="5">
        <v>199</v>
      </c>
      <c r="AE112" s="62"/>
      <c r="AF112" s="197">
        <f>(AF113-$AB$117)/$AB$116</f>
        <v>85.27572484366118</v>
      </c>
      <c r="AG112" s="6">
        <v>0</v>
      </c>
      <c r="AJ112" s="4" t="s">
        <v>4</v>
      </c>
      <c r="AK112" s="5">
        <v>6</v>
      </c>
      <c r="AL112" s="5"/>
      <c r="AM112" s="5">
        <v>14</v>
      </c>
      <c r="AN112" s="5"/>
      <c r="AO112" s="5">
        <v>21</v>
      </c>
      <c r="AP112" s="6">
        <v>28</v>
      </c>
    </row>
    <row r="113" spans="2:42" ht="15.75" thickBot="1" x14ac:dyDescent="0.3">
      <c r="B113" s="7" t="s">
        <v>16</v>
      </c>
      <c r="C113" s="8">
        <v>0</v>
      </c>
      <c r="D113" s="8">
        <v>0.28999999999999998</v>
      </c>
      <c r="E113" s="9">
        <v>0.3</v>
      </c>
      <c r="F113" s="9">
        <v>0.69</v>
      </c>
      <c r="G113" s="10">
        <v>0.7</v>
      </c>
      <c r="H113" s="11">
        <v>1</v>
      </c>
      <c r="M113" s="1"/>
      <c r="N113" s="1"/>
      <c r="O113" s="1"/>
      <c r="P113" s="1"/>
      <c r="R113" s="14" t="s">
        <v>192</v>
      </c>
      <c r="AA113" s="7" t="s">
        <v>5</v>
      </c>
      <c r="AB113" s="8">
        <v>0</v>
      </c>
      <c r="AC113" s="8">
        <v>0.28999999999999998</v>
      </c>
      <c r="AD113" s="9">
        <v>0.3</v>
      </c>
      <c r="AE113" s="9">
        <v>0.69</v>
      </c>
      <c r="AF113" s="10">
        <v>0.7</v>
      </c>
      <c r="AG113" s="11">
        <v>1</v>
      </c>
      <c r="AJ113" s="7" t="s">
        <v>5</v>
      </c>
      <c r="AK113" s="8">
        <v>0</v>
      </c>
      <c r="AL113" s="8">
        <v>0.28999999999999998</v>
      </c>
      <c r="AM113" s="9">
        <v>0.3</v>
      </c>
      <c r="AN113" s="9">
        <v>0.69</v>
      </c>
      <c r="AO113" s="10">
        <v>0.7</v>
      </c>
      <c r="AP113" s="11">
        <v>1</v>
      </c>
    </row>
    <row r="114" spans="2:42" x14ac:dyDescent="0.25">
      <c r="M114" s="1"/>
      <c r="N114" s="1"/>
      <c r="O114" s="1"/>
      <c r="P114" s="1"/>
      <c r="R114" s="4" t="s">
        <v>15</v>
      </c>
      <c r="S114" s="5">
        <v>41</v>
      </c>
      <c r="T114" s="5"/>
      <c r="U114" s="5">
        <v>25</v>
      </c>
      <c r="V114" s="5"/>
      <c r="W114" s="5">
        <v>9</v>
      </c>
      <c r="X114" s="6">
        <v>5</v>
      </c>
      <c r="AA114" s="21"/>
      <c r="AB114" s="196"/>
      <c r="AC114" s="21"/>
      <c r="AD114" s="195"/>
      <c r="AE114" s="195"/>
      <c r="AF114" s="195"/>
      <c r="AG114" s="195"/>
      <c r="AH114" s="195"/>
    </row>
    <row r="115" spans="2:42" ht="15.75" thickBot="1" x14ac:dyDescent="0.3">
      <c r="C115" s="179" t="s">
        <v>374</v>
      </c>
      <c r="D115" s="175"/>
      <c r="M115" s="1"/>
      <c r="N115" s="1"/>
      <c r="O115" s="1"/>
      <c r="P115" s="1"/>
      <c r="R115" s="7" t="s">
        <v>16</v>
      </c>
      <c r="S115" s="8">
        <v>0</v>
      </c>
      <c r="T115" s="8">
        <v>0.28999999999999998</v>
      </c>
      <c r="U115" s="9">
        <v>0.3</v>
      </c>
      <c r="V115" s="9">
        <v>0.69</v>
      </c>
      <c r="W115" s="10">
        <v>0.7</v>
      </c>
      <c r="X115" s="11">
        <v>1</v>
      </c>
      <c r="AB115" s="175" t="s">
        <v>366</v>
      </c>
      <c r="AC115" s="175"/>
      <c r="AJ115" s="175"/>
      <c r="AK115" s="179" t="s">
        <v>444</v>
      </c>
    </row>
    <row r="116" spans="2:42" x14ac:dyDescent="0.25">
      <c r="C116" s="174" t="s">
        <v>265</v>
      </c>
      <c r="D116" s="174" t="s">
        <v>266</v>
      </c>
      <c r="J116" s="1"/>
      <c r="K116" s="1"/>
      <c r="L116" s="1"/>
      <c r="M116" s="1"/>
      <c r="N116" s="1"/>
      <c r="O116" s="1"/>
      <c r="P116" s="1"/>
      <c r="AA116" s="183" t="s">
        <v>259</v>
      </c>
      <c r="AB116" s="1">
        <v>-3.5179999999999999E-3</v>
      </c>
      <c r="AC116" s="1"/>
      <c r="AJ116" s="163" t="s">
        <v>259</v>
      </c>
      <c r="AK116" s="14">
        <v>-1.059E-4</v>
      </c>
      <c r="AN116" s="163"/>
    </row>
    <row r="117" spans="2:42" x14ac:dyDescent="0.25">
      <c r="B117" s="14" t="s">
        <v>259</v>
      </c>
      <c r="C117" s="14">
        <v>2.9999999999999997E-4</v>
      </c>
      <c r="F117" s="1"/>
      <c r="G117" s="181"/>
      <c r="H117" s="181"/>
      <c r="S117" s="179" t="s">
        <v>444</v>
      </c>
      <c r="AA117" s="183" t="s">
        <v>260</v>
      </c>
      <c r="AB117" s="1">
        <v>1</v>
      </c>
      <c r="AC117" s="1"/>
      <c r="AJ117" s="163" t="s">
        <v>260</v>
      </c>
      <c r="AK117" s="14">
        <v>5.6516700000000001E-3</v>
      </c>
      <c r="AL117" s="16"/>
      <c r="AM117" s="16"/>
    </row>
    <row r="118" spans="2:42" x14ac:dyDescent="0.25">
      <c r="B118" s="13" t="s">
        <v>260</v>
      </c>
      <c r="C118" s="13">
        <v>-3.4500000000000003E-2</v>
      </c>
      <c r="D118" s="13">
        <v>-5.868E-3</v>
      </c>
      <c r="F118" s="1"/>
      <c r="G118" s="1"/>
      <c r="H118" s="1"/>
      <c r="R118" s="183" t="s">
        <v>259</v>
      </c>
      <c r="S118" s="13">
        <v>-6.402E-5</v>
      </c>
      <c r="T118" s="13"/>
      <c r="AA118" s="183"/>
      <c r="AB118" s="1"/>
      <c r="AC118" s="1"/>
      <c r="AJ118" s="177" t="s">
        <v>267</v>
      </c>
      <c r="AK118" s="13">
        <v>-4.2067099599999998E-2</v>
      </c>
      <c r="AL118" s="16"/>
    </row>
    <row r="119" spans="2:42" x14ac:dyDescent="0.25">
      <c r="B119" s="13" t="s">
        <v>267</v>
      </c>
      <c r="C119" s="13">
        <v>1</v>
      </c>
      <c r="D119" s="13">
        <v>0.44466499999999998</v>
      </c>
      <c r="F119" s="1"/>
      <c r="G119" s="1"/>
      <c r="H119" s="1"/>
      <c r="R119" s="183" t="s">
        <v>260</v>
      </c>
      <c r="S119" s="13">
        <v>4.9967400000000004E-3</v>
      </c>
      <c r="T119" s="13"/>
      <c r="AA119" s="1"/>
      <c r="AB119" s="1"/>
      <c r="AC119" s="1"/>
      <c r="AJ119" s="177" t="s">
        <v>268</v>
      </c>
      <c r="AK119" s="13">
        <v>7.1818181800000006E-2</v>
      </c>
    </row>
    <row r="120" spans="2:42" x14ac:dyDescent="0.25">
      <c r="B120" s="13"/>
      <c r="C120" s="13"/>
      <c r="D120" s="146"/>
      <c r="F120" s="1"/>
      <c r="G120" s="1"/>
      <c r="H120" s="1"/>
      <c r="R120" s="183" t="s">
        <v>267</v>
      </c>
      <c r="S120" s="13">
        <v>-0.13528754000000001</v>
      </c>
      <c r="T120" s="13"/>
      <c r="AA120" s="1"/>
      <c r="AB120" s="1"/>
      <c r="AC120" s="1"/>
    </row>
    <row r="121" spans="2:42" x14ac:dyDescent="0.25">
      <c r="B121" s="1"/>
      <c r="R121" s="183" t="s">
        <v>268</v>
      </c>
      <c r="S121" s="13">
        <v>1.5595214799999999</v>
      </c>
      <c r="T121" s="146"/>
    </row>
    <row r="122" spans="2:42" x14ac:dyDescent="0.25">
      <c r="B122" s="1"/>
    </row>
    <row r="136" spans="25:25" x14ac:dyDescent="0.25">
      <c r="Y136" s="2"/>
    </row>
    <row r="137" spans="25:25" x14ac:dyDescent="0.25">
      <c r="Y137" s="1"/>
    </row>
    <row r="138" spans="25:25" x14ac:dyDescent="0.25">
      <c r="Y138" s="1"/>
    </row>
    <row r="146" spans="18:42" ht="15.75" thickBot="1" x14ac:dyDescent="0.3">
      <c r="AA146" s="14" t="s">
        <v>214</v>
      </c>
      <c r="AJ146" s="14" t="s">
        <v>261</v>
      </c>
    </row>
    <row r="147" spans="18:42" x14ac:dyDescent="0.25">
      <c r="AA147" s="560" t="s">
        <v>4</v>
      </c>
      <c r="AB147" s="5"/>
      <c r="AC147" s="5"/>
      <c r="AD147" s="5">
        <v>0.5</v>
      </c>
      <c r="AE147" s="5"/>
      <c r="AF147" s="5">
        <v>0.75</v>
      </c>
      <c r="AG147" s="6">
        <v>1.33</v>
      </c>
      <c r="AJ147" s="4" t="s">
        <v>4</v>
      </c>
      <c r="AK147" s="5">
        <v>5</v>
      </c>
      <c r="AL147" s="5"/>
      <c r="AM147" s="5">
        <v>12</v>
      </c>
      <c r="AN147" s="5"/>
      <c r="AO147" s="5">
        <v>18</v>
      </c>
      <c r="AP147" s="6">
        <v>24</v>
      </c>
    </row>
    <row r="148" spans="18:42" ht="15.75" thickBot="1" x14ac:dyDescent="0.3">
      <c r="R148" s="13" t="s">
        <v>241</v>
      </c>
      <c r="S148" s="13"/>
      <c r="T148" s="13"/>
      <c r="U148" s="13"/>
      <c r="V148" s="13"/>
      <c r="W148" s="13"/>
      <c r="X148" s="13"/>
      <c r="AA148" s="561"/>
      <c r="AB148" s="55"/>
      <c r="AC148" s="55"/>
      <c r="AD148" s="55">
        <v>2</v>
      </c>
      <c r="AE148" s="55">
        <v>1.34</v>
      </c>
      <c r="AF148" s="55"/>
      <c r="AG148" s="61">
        <v>1.33</v>
      </c>
      <c r="AJ148" s="7" t="s">
        <v>5</v>
      </c>
      <c r="AK148" s="8">
        <v>0</v>
      </c>
      <c r="AL148" s="8">
        <v>0.28999999999999998</v>
      </c>
      <c r="AM148" s="9">
        <v>0.3</v>
      </c>
      <c r="AN148" s="9">
        <v>0.69</v>
      </c>
      <c r="AO148" s="10">
        <v>0.7</v>
      </c>
      <c r="AP148" s="11">
        <v>1</v>
      </c>
    </row>
    <row r="149" spans="18:42" ht="15.75" thickBot="1" x14ac:dyDescent="0.3">
      <c r="R149" s="4" t="s">
        <v>15</v>
      </c>
      <c r="S149" s="5">
        <v>0</v>
      </c>
      <c r="T149" s="5"/>
      <c r="U149" s="5">
        <v>25</v>
      </c>
      <c r="V149" s="5"/>
      <c r="W149" s="5">
        <v>61</v>
      </c>
      <c r="X149" s="6">
        <v>90.54</v>
      </c>
      <c r="AA149" s="7" t="s">
        <v>5</v>
      </c>
      <c r="AB149" s="8">
        <v>0</v>
      </c>
      <c r="AC149" s="8">
        <v>0.28999999999999998</v>
      </c>
      <c r="AD149" s="9">
        <v>0.3</v>
      </c>
      <c r="AE149" s="9">
        <v>0.69</v>
      </c>
      <c r="AF149" s="10">
        <v>0.7</v>
      </c>
      <c r="AG149" s="11">
        <v>1</v>
      </c>
    </row>
    <row r="150" spans="18:42" ht="15.75" thickBot="1" x14ac:dyDescent="0.3">
      <c r="R150" s="7" t="s">
        <v>16</v>
      </c>
      <c r="S150" s="8">
        <v>0</v>
      </c>
      <c r="T150" s="8">
        <v>0.28999999999999998</v>
      </c>
      <c r="U150" s="9">
        <v>0.3</v>
      </c>
      <c r="V150" s="9">
        <v>0.69</v>
      </c>
      <c r="W150" s="10">
        <v>0.7</v>
      </c>
      <c r="X150" s="11">
        <v>1</v>
      </c>
      <c r="AJ150" s="175"/>
      <c r="AK150" s="179" t="s">
        <v>444</v>
      </c>
      <c r="AL150" s="13"/>
    </row>
    <row r="151" spans="18:42" x14ac:dyDescent="0.25">
      <c r="AB151" s="179" t="s">
        <v>366</v>
      </c>
      <c r="AC151" s="179"/>
      <c r="AD151" s="179"/>
      <c r="AJ151" s="163" t="s">
        <v>259</v>
      </c>
      <c r="AK151" s="14">
        <v>-1.695E-4</v>
      </c>
      <c r="AL151" s="13"/>
      <c r="AN151" s="163"/>
    </row>
    <row r="152" spans="18:42" x14ac:dyDescent="0.25">
      <c r="S152" s="376" t="s">
        <v>374</v>
      </c>
      <c r="AA152" s="13"/>
      <c r="AB152" s="14" t="s">
        <v>278</v>
      </c>
      <c r="AC152" s="189" t="s">
        <v>276</v>
      </c>
      <c r="AD152" s="189" t="s">
        <v>277</v>
      </c>
      <c r="AJ152" s="163" t="s">
        <v>260</v>
      </c>
      <c r="AK152" s="14">
        <v>7.7638000000000004E-3</v>
      </c>
      <c r="AL152" s="146"/>
    </row>
    <row r="153" spans="18:42" x14ac:dyDescent="0.25">
      <c r="R153" s="183" t="s">
        <v>259</v>
      </c>
      <c r="S153" s="13">
        <f>-1.457*10^-5</f>
        <v>-1.4570000000000001E-5</v>
      </c>
      <c r="T153" s="13"/>
      <c r="U153" s="13"/>
      <c r="V153" s="13"/>
      <c r="W153" s="13"/>
      <c r="X153" s="13"/>
      <c r="AA153" s="189" t="s">
        <v>259</v>
      </c>
      <c r="AB153" s="13">
        <v>1.6</v>
      </c>
      <c r="AC153" s="13">
        <v>0.51719999999999999</v>
      </c>
      <c r="AD153" s="14">
        <v>-0.59089999999999998</v>
      </c>
      <c r="AJ153" s="12" t="s">
        <v>267</v>
      </c>
      <c r="AK153" s="13">
        <v>-5.0313299999999998E-2</v>
      </c>
      <c r="AL153" s="146"/>
    </row>
    <row r="154" spans="18:42" x14ac:dyDescent="0.25">
      <c r="R154" s="183" t="s">
        <v>260</v>
      </c>
      <c r="S154" s="13">
        <v>1.2359999999999999E-2</v>
      </c>
      <c r="T154" s="13"/>
      <c r="U154" s="13"/>
      <c r="V154" s="13"/>
      <c r="W154" s="13"/>
      <c r="X154" s="13"/>
      <c r="AA154" s="189" t="s">
        <v>260</v>
      </c>
      <c r="AB154" s="13">
        <v>-0.5</v>
      </c>
      <c r="AC154" s="13">
        <v>0.31209999999999999</v>
      </c>
      <c r="AD154" s="14">
        <v>1.4818</v>
      </c>
      <c r="AJ154" s="177" t="s">
        <v>268</v>
      </c>
      <c r="AK154" s="14">
        <v>7.8658199999999998E-2</v>
      </c>
    </row>
    <row r="155" spans="18:42" ht="21" x14ac:dyDescent="0.35">
      <c r="R155" s="185" t="s">
        <v>267</v>
      </c>
      <c r="S155" s="184">
        <v>0</v>
      </c>
      <c r="T155" s="184"/>
      <c r="U155" s="13"/>
      <c r="V155" s="145"/>
      <c r="W155" s="13"/>
      <c r="X155" s="13"/>
      <c r="AA155" s="189"/>
      <c r="AB155" s="13"/>
      <c r="AC155" s="146"/>
    </row>
    <row r="156" spans="18:42" x14ac:dyDescent="0.25">
      <c r="R156" s="13"/>
      <c r="S156" s="13"/>
      <c r="T156" s="146"/>
      <c r="U156" s="13"/>
      <c r="V156" s="13"/>
      <c r="W156" s="13"/>
      <c r="X156" s="146"/>
      <c r="AA156" s="13"/>
      <c r="AB156" s="13"/>
      <c r="AC156" s="13"/>
    </row>
    <row r="157" spans="18:42" x14ac:dyDescent="0.25">
      <c r="R157" s="13"/>
      <c r="S157" s="13"/>
      <c r="T157" s="146"/>
      <c r="U157" s="13"/>
      <c r="V157" s="13"/>
      <c r="W157" s="13"/>
      <c r="X157" s="146"/>
    </row>
    <row r="180" spans="18:42" ht="15.75" thickBot="1" x14ac:dyDescent="0.3">
      <c r="AA180" s="14" t="s">
        <v>293</v>
      </c>
      <c r="AJ180" s="14" t="s">
        <v>126</v>
      </c>
    </row>
    <row r="181" spans="18:42" ht="30" x14ac:dyDescent="0.25">
      <c r="AA181" s="4" t="s">
        <v>290</v>
      </c>
      <c r="AB181" s="5">
        <v>0</v>
      </c>
      <c r="AC181" s="5">
        <v>4.5999999999999996</v>
      </c>
      <c r="AD181" s="5">
        <v>6.9</v>
      </c>
      <c r="AE181" s="5">
        <v>13.8</v>
      </c>
      <c r="AF181" s="5">
        <v>16.100000000000001</v>
      </c>
      <c r="AG181" s="6">
        <v>23</v>
      </c>
      <c r="AJ181" s="4" t="s">
        <v>4</v>
      </c>
      <c r="AK181" s="245">
        <f>(AK182-AK186)/AK185</f>
        <v>21.153846153846157</v>
      </c>
      <c r="AL181" s="5"/>
      <c r="AM181" s="5">
        <v>33</v>
      </c>
      <c r="AN181" s="5"/>
      <c r="AO181" s="5">
        <v>48</v>
      </c>
      <c r="AP181" s="6">
        <v>60</v>
      </c>
    </row>
    <row r="182" spans="18:42" ht="15.75" thickBot="1" x14ac:dyDescent="0.3">
      <c r="R182" s="14" t="s">
        <v>365</v>
      </c>
      <c r="AA182" s="234" t="s">
        <v>291</v>
      </c>
      <c r="AB182" s="235">
        <v>0</v>
      </c>
      <c r="AC182" s="236">
        <v>4.2</v>
      </c>
      <c r="AD182" s="236">
        <v>6.3</v>
      </c>
      <c r="AE182" s="236">
        <v>12.6</v>
      </c>
      <c r="AF182" s="236">
        <v>14.7</v>
      </c>
      <c r="AG182" s="237">
        <v>21</v>
      </c>
      <c r="AJ182" s="7" t="s">
        <v>5</v>
      </c>
      <c r="AK182" s="8">
        <v>0</v>
      </c>
      <c r="AL182" s="8">
        <v>0.28999999999999998</v>
      </c>
      <c r="AM182" s="9">
        <v>0.3</v>
      </c>
      <c r="AN182" s="9">
        <v>0.69</v>
      </c>
      <c r="AO182" s="10">
        <v>0.7</v>
      </c>
      <c r="AP182" s="11">
        <v>1</v>
      </c>
    </row>
    <row r="183" spans="18:42" x14ac:dyDescent="0.25">
      <c r="R183" s="4" t="s">
        <v>15</v>
      </c>
      <c r="S183" s="5">
        <v>0</v>
      </c>
      <c r="T183" s="5"/>
      <c r="U183" s="20">
        <v>13</v>
      </c>
      <c r="V183" s="5"/>
      <c r="W183" s="5">
        <v>30</v>
      </c>
      <c r="X183" s="6">
        <v>50</v>
      </c>
      <c r="Y183" s="13"/>
      <c r="AA183" s="234" t="s">
        <v>292</v>
      </c>
      <c r="AB183" s="55">
        <v>0</v>
      </c>
      <c r="AC183" s="55">
        <v>3.6</v>
      </c>
      <c r="AD183" s="55">
        <v>5.4</v>
      </c>
      <c r="AE183" s="55">
        <v>10.8</v>
      </c>
      <c r="AF183" s="55">
        <v>12.6</v>
      </c>
      <c r="AG183" s="61">
        <v>18</v>
      </c>
    </row>
    <row r="184" spans="18:42" ht="15.75" thickBot="1" x14ac:dyDescent="0.3">
      <c r="R184" s="7" t="s">
        <v>16</v>
      </c>
      <c r="S184" s="8">
        <v>0</v>
      </c>
      <c r="T184" s="8">
        <v>0.28999999999999998</v>
      </c>
      <c r="U184" s="9">
        <v>0.3</v>
      </c>
      <c r="V184" s="9">
        <v>0.69</v>
      </c>
      <c r="W184" s="10">
        <v>0.7</v>
      </c>
      <c r="X184" s="11">
        <v>1</v>
      </c>
      <c r="AA184" s="7" t="s">
        <v>5</v>
      </c>
      <c r="AB184" s="8">
        <v>0</v>
      </c>
      <c r="AC184" s="8">
        <v>0.2</v>
      </c>
      <c r="AD184" s="9">
        <v>0.3</v>
      </c>
      <c r="AE184" s="9">
        <v>0.6</v>
      </c>
      <c r="AF184" s="10">
        <v>0.7</v>
      </c>
      <c r="AG184" s="11">
        <v>1</v>
      </c>
      <c r="AJ184" s="13"/>
      <c r="AK184" s="175" t="s">
        <v>366</v>
      </c>
      <c r="AL184" s="13"/>
    </row>
    <row r="185" spans="18:42" x14ac:dyDescent="0.25">
      <c r="AJ185" s="183" t="s">
        <v>259</v>
      </c>
      <c r="AK185" s="13">
        <v>2.5999999999999999E-2</v>
      </c>
      <c r="AL185" s="13"/>
    </row>
    <row r="186" spans="18:42" x14ac:dyDescent="0.25">
      <c r="R186" s="13"/>
      <c r="S186" s="179" t="s">
        <v>366</v>
      </c>
      <c r="T186" s="314"/>
      <c r="AB186" s="179" t="s">
        <v>366</v>
      </c>
      <c r="AC186" s="179"/>
      <c r="AD186" s="179"/>
      <c r="AJ186" s="183" t="s">
        <v>260</v>
      </c>
      <c r="AK186" s="13">
        <v>-0.55000000000000004</v>
      </c>
      <c r="AL186" s="13"/>
    </row>
    <row r="187" spans="18:42" x14ac:dyDescent="0.25">
      <c r="R187" s="13"/>
      <c r="S187" s="314" t="s">
        <v>269</v>
      </c>
      <c r="T187" s="314" t="s">
        <v>166</v>
      </c>
      <c r="AB187" s="14" t="s">
        <v>294</v>
      </c>
      <c r="AC187" s="14" t="s">
        <v>295</v>
      </c>
      <c r="AD187" s="14" t="s">
        <v>296</v>
      </c>
      <c r="AJ187" s="13"/>
      <c r="AK187" s="13"/>
      <c r="AL187" s="13"/>
    </row>
    <row r="188" spans="18:42" x14ac:dyDescent="0.25">
      <c r="R188" s="315" t="s">
        <v>259</v>
      </c>
      <c r="S188" s="13">
        <v>2.3342999999999999E-2</v>
      </c>
      <c r="T188" s="13">
        <v>1.4999999999999999E-2</v>
      </c>
      <c r="AA188" s="183" t="s">
        <v>259</v>
      </c>
      <c r="AB188" s="13">
        <v>4.3479999999999998E-2</v>
      </c>
      <c r="AC188" s="13">
        <v>4.7600000000000003E-2</v>
      </c>
      <c r="AD188" s="14">
        <v>5.5599999999999997E-2</v>
      </c>
      <c r="AJ188" s="13"/>
      <c r="AK188" s="13"/>
      <c r="AL188" s="146"/>
    </row>
    <row r="189" spans="18:42" x14ac:dyDescent="0.25">
      <c r="R189" s="315" t="s">
        <v>260</v>
      </c>
      <c r="S189" s="13">
        <v>-1.2520000000000001E-3</v>
      </c>
      <c r="T189" s="13">
        <v>0.25</v>
      </c>
      <c r="AA189" s="183" t="s">
        <v>260</v>
      </c>
      <c r="AB189" s="13">
        <v>0</v>
      </c>
      <c r="AC189" s="13">
        <v>0</v>
      </c>
      <c r="AD189" s="1">
        <v>0</v>
      </c>
      <c r="AJ189" s="13"/>
      <c r="AK189" s="13"/>
      <c r="AL189" s="13"/>
    </row>
    <row r="190" spans="18:42" x14ac:dyDescent="0.25">
      <c r="R190" s="12"/>
      <c r="S190" s="13"/>
      <c r="T190" s="146"/>
      <c r="AA190" s="13"/>
      <c r="AB190" s="13"/>
      <c r="AC190" s="13"/>
    </row>
    <row r="191" spans="18:42" x14ac:dyDescent="0.25">
      <c r="R191" s="13"/>
      <c r="S191" s="13"/>
      <c r="T191" s="13"/>
      <c r="AA191" s="13"/>
      <c r="AB191" s="13"/>
      <c r="AC191" s="146"/>
    </row>
    <row r="192" spans="18:42" x14ac:dyDescent="0.25">
      <c r="AA192" s="13"/>
      <c r="AB192" s="13"/>
      <c r="AC192" s="13"/>
    </row>
    <row r="193" spans="1:1" x14ac:dyDescent="0.25">
      <c r="A193" s="1"/>
    </row>
    <row r="194" spans="1:1" x14ac:dyDescent="0.25">
      <c r="A194" s="1"/>
    </row>
    <row r="195" spans="1:1" x14ac:dyDescent="0.25">
      <c r="A195" s="1"/>
    </row>
    <row r="196" spans="1:1" x14ac:dyDescent="0.25">
      <c r="A196" s="1"/>
    </row>
    <row r="197" spans="1:1" x14ac:dyDescent="0.25">
      <c r="A197" s="1"/>
    </row>
    <row r="198" spans="1:1" x14ac:dyDescent="0.25">
      <c r="A198" s="1"/>
    </row>
    <row r="199" spans="1:1" x14ac:dyDescent="0.25">
      <c r="A199" s="1"/>
    </row>
    <row r="200" spans="1:1" x14ac:dyDescent="0.25">
      <c r="A200" s="1"/>
    </row>
    <row r="201" spans="1:1" x14ac:dyDescent="0.25">
      <c r="A201" s="1"/>
    </row>
    <row r="202" spans="1:1" x14ac:dyDescent="0.25">
      <c r="A202" s="1"/>
    </row>
    <row r="203" spans="1:1" x14ac:dyDescent="0.25">
      <c r="A203" s="1"/>
    </row>
    <row r="204" spans="1:1" x14ac:dyDescent="0.25">
      <c r="A204" s="1"/>
    </row>
    <row r="205" spans="1:1" x14ac:dyDescent="0.25">
      <c r="A205" s="1"/>
    </row>
    <row r="206" spans="1:1" x14ac:dyDescent="0.25">
      <c r="A206" s="1"/>
    </row>
    <row r="207" spans="1:1" x14ac:dyDescent="0.25">
      <c r="A207" s="1"/>
    </row>
    <row r="208" spans="1:1" x14ac:dyDescent="0.25">
      <c r="A208" s="1"/>
    </row>
    <row r="214" spans="18:42" ht="15.75" thickBot="1" x14ac:dyDescent="0.3">
      <c r="AA214" s="14" t="s">
        <v>297</v>
      </c>
      <c r="AJ214" s="14" t="s">
        <v>127</v>
      </c>
    </row>
    <row r="215" spans="18:42" ht="30" x14ac:dyDescent="0.25">
      <c r="AA215" s="4" t="s">
        <v>290</v>
      </c>
      <c r="AB215" s="152">
        <v>0</v>
      </c>
      <c r="AC215" s="232">
        <v>3.2</v>
      </c>
      <c r="AD215" s="232">
        <v>4.8</v>
      </c>
      <c r="AE215" s="232">
        <v>9.6</v>
      </c>
      <c r="AF215" s="232">
        <v>11.200000000000001</v>
      </c>
      <c r="AG215" s="233">
        <v>16</v>
      </c>
      <c r="AJ215" s="4" t="s">
        <v>4</v>
      </c>
      <c r="AK215" s="5">
        <v>26.6</v>
      </c>
      <c r="AL215" s="5"/>
      <c r="AM215" s="5">
        <v>35</v>
      </c>
      <c r="AN215" s="5"/>
      <c r="AO215" s="5">
        <v>48</v>
      </c>
      <c r="AP215" s="6">
        <v>60</v>
      </c>
    </row>
    <row r="216" spans="18:42" ht="15.75" thickBot="1" x14ac:dyDescent="0.3">
      <c r="R216" s="14" t="s">
        <v>367</v>
      </c>
      <c r="AA216" s="234" t="s">
        <v>291</v>
      </c>
      <c r="AB216" s="235">
        <v>0</v>
      </c>
      <c r="AC216" s="236">
        <v>2.8000000000000003</v>
      </c>
      <c r="AD216" s="236">
        <v>4.2</v>
      </c>
      <c r="AE216" s="236">
        <v>8.4</v>
      </c>
      <c r="AF216" s="236">
        <v>9.8000000000000007</v>
      </c>
      <c r="AG216" s="237">
        <v>14.000000000000002</v>
      </c>
      <c r="AJ216" s="7" t="s">
        <v>5</v>
      </c>
      <c r="AK216" s="8">
        <v>0</v>
      </c>
      <c r="AL216" s="8">
        <v>0.28999999999999998</v>
      </c>
      <c r="AM216" s="9">
        <v>0.3</v>
      </c>
      <c r="AN216" s="9">
        <v>0.69</v>
      </c>
      <c r="AO216" s="10">
        <v>0.7</v>
      </c>
      <c r="AP216" s="11">
        <v>1</v>
      </c>
    </row>
    <row r="217" spans="18:42" x14ac:dyDescent="0.25">
      <c r="R217" s="4" t="s">
        <v>15</v>
      </c>
      <c r="S217" s="5">
        <v>0</v>
      </c>
      <c r="T217" s="5"/>
      <c r="U217" s="20">
        <v>30</v>
      </c>
      <c r="V217" s="20"/>
      <c r="W217" s="20">
        <v>45</v>
      </c>
      <c r="X217" s="6">
        <v>150</v>
      </c>
      <c r="AA217" s="234" t="s">
        <v>292</v>
      </c>
      <c r="AB217" s="235">
        <v>0</v>
      </c>
      <c r="AC217" s="236">
        <v>2.4</v>
      </c>
      <c r="AD217" s="236">
        <v>3.5999999999999996</v>
      </c>
      <c r="AE217" s="236">
        <v>7.1999999999999993</v>
      </c>
      <c r="AF217" s="236">
        <v>8.4</v>
      </c>
      <c r="AG217" s="237">
        <v>12</v>
      </c>
    </row>
    <row r="218" spans="18:42" ht="15.75" thickBot="1" x14ac:dyDescent="0.3">
      <c r="R218" s="7" t="s">
        <v>16</v>
      </c>
      <c r="S218" s="8">
        <v>0</v>
      </c>
      <c r="T218" s="8">
        <v>0.28999999999999998</v>
      </c>
      <c r="U218" s="9">
        <v>0.3</v>
      </c>
      <c r="V218" s="9">
        <v>0.69</v>
      </c>
      <c r="W218" s="10">
        <v>0.7</v>
      </c>
      <c r="X218" s="11">
        <v>1</v>
      </c>
      <c r="AA218" s="7" t="s">
        <v>5</v>
      </c>
      <c r="AB218" s="8">
        <v>0</v>
      </c>
      <c r="AC218" s="8">
        <v>0.2</v>
      </c>
      <c r="AD218" s="9">
        <v>0.3</v>
      </c>
      <c r="AE218" s="9">
        <v>0.6</v>
      </c>
      <c r="AF218" s="10">
        <v>0.7</v>
      </c>
      <c r="AG218" s="11">
        <v>1</v>
      </c>
      <c r="AK218" s="175" t="s">
        <v>374</v>
      </c>
    </row>
    <row r="219" spans="18:42" x14ac:dyDescent="0.25">
      <c r="AJ219" s="183" t="s">
        <v>259</v>
      </c>
      <c r="AK219" s="13">
        <v>-2.31E-4</v>
      </c>
      <c r="AL219" s="13"/>
    </row>
    <row r="220" spans="18:42" x14ac:dyDescent="0.25">
      <c r="R220" s="13"/>
      <c r="S220" s="179" t="s">
        <v>374</v>
      </c>
      <c r="T220" s="179"/>
      <c r="AB220" s="179" t="s">
        <v>366</v>
      </c>
      <c r="AC220" s="179"/>
      <c r="AD220" s="179"/>
      <c r="AJ220" s="183" t="s">
        <v>260</v>
      </c>
      <c r="AK220" s="13">
        <v>4.99E-2</v>
      </c>
      <c r="AL220" s="13"/>
    </row>
    <row r="221" spans="18:42" x14ac:dyDescent="0.25">
      <c r="R221" s="13"/>
      <c r="S221" s="314" t="s">
        <v>269</v>
      </c>
      <c r="T221" s="314" t="s">
        <v>166</v>
      </c>
      <c r="AB221" s="14" t="s">
        <v>294</v>
      </c>
      <c r="AC221" s="14" t="s">
        <v>295</v>
      </c>
      <c r="AD221" s="14" t="s">
        <v>296</v>
      </c>
      <c r="AJ221" s="183" t="s">
        <v>267</v>
      </c>
      <c r="AK221" s="13">
        <v>-1.165</v>
      </c>
      <c r="AL221" s="13"/>
    </row>
    <row r="222" spans="18:42" x14ac:dyDescent="0.25">
      <c r="R222" s="315" t="s">
        <v>259</v>
      </c>
      <c r="S222" s="13">
        <v>3.6999999999999999E-4</v>
      </c>
      <c r="AA222" s="183" t="s">
        <v>259</v>
      </c>
      <c r="AB222" s="13">
        <v>6.25E-2</v>
      </c>
      <c r="AC222" s="14">
        <v>7.1400000000000005E-2</v>
      </c>
      <c r="AD222" s="14">
        <v>8.3299999999999999E-2</v>
      </c>
      <c r="AJ222" s="13"/>
      <c r="AK222" s="13"/>
      <c r="AL222" s="146"/>
    </row>
    <row r="223" spans="18:42" x14ac:dyDescent="0.25">
      <c r="R223" s="315" t="s">
        <v>260</v>
      </c>
      <c r="S223" s="13">
        <v>-1.111E-3</v>
      </c>
      <c r="T223" s="13">
        <v>2.8999999999999998E-3</v>
      </c>
      <c r="AA223" s="183" t="s">
        <v>260</v>
      </c>
      <c r="AB223" s="13">
        <v>0</v>
      </c>
      <c r="AC223" s="14">
        <v>0</v>
      </c>
      <c r="AD223" s="14">
        <v>0</v>
      </c>
      <c r="AJ223" s="13"/>
      <c r="AK223" s="13"/>
      <c r="AL223" s="13"/>
    </row>
    <row r="224" spans="18:42" x14ac:dyDescent="0.25">
      <c r="R224" s="315" t="s">
        <v>267</v>
      </c>
      <c r="S224" s="13">
        <v>0</v>
      </c>
      <c r="T224" s="13">
        <v>0.57140000000000002</v>
      </c>
      <c r="AA224" s="13"/>
      <c r="AB224" s="13"/>
      <c r="AC224" s="13"/>
    </row>
    <row r="225" spans="27:29" x14ac:dyDescent="0.25">
      <c r="AA225" s="13"/>
      <c r="AB225" s="13"/>
      <c r="AC225" s="146"/>
    </row>
    <row r="226" spans="27:29" x14ac:dyDescent="0.25">
      <c r="AA226" s="13"/>
      <c r="AB226" s="13"/>
      <c r="AC226" s="13"/>
    </row>
    <row r="248" spans="18:42" ht="15.75" thickBot="1" x14ac:dyDescent="0.3">
      <c r="AA248" s="14" t="s">
        <v>298</v>
      </c>
      <c r="AJ248" s="14" t="s">
        <v>448</v>
      </c>
    </row>
    <row r="249" spans="18:42" ht="30" x14ac:dyDescent="0.25">
      <c r="AA249" s="4" t="s">
        <v>290</v>
      </c>
      <c r="AB249" s="152">
        <v>0</v>
      </c>
      <c r="AC249" s="232">
        <v>2.8000000000000003</v>
      </c>
      <c r="AD249" s="232">
        <v>4.2</v>
      </c>
      <c r="AE249" s="232">
        <v>8.4</v>
      </c>
      <c r="AF249" s="232">
        <v>9.8000000000000007</v>
      </c>
      <c r="AG249" s="233">
        <v>14.000000000000002</v>
      </c>
      <c r="AJ249" s="4" t="s">
        <v>4</v>
      </c>
      <c r="AK249" s="5">
        <v>25.1</v>
      </c>
      <c r="AL249" s="5"/>
      <c r="AM249" s="5">
        <v>33</v>
      </c>
      <c r="AN249" s="5"/>
      <c r="AO249" s="5">
        <v>46</v>
      </c>
      <c r="AP249" s="6">
        <v>60</v>
      </c>
    </row>
    <row r="250" spans="18:42" ht="15.75" thickBot="1" x14ac:dyDescent="0.3">
      <c r="R250" s="13" t="s">
        <v>341</v>
      </c>
      <c r="S250" s="13"/>
      <c r="T250" s="13"/>
      <c r="U250" s="13"/>
      <c r="V250" s="13"/>
      <c r="W250" s="13"/>
      <c r="X250" s="13"/>
      <c r="AA250" s="234" t="s">
        <v>291</v>
      </c>
      <c r="AB250" s="235">
        <v>0</v>
      </c>
      <c r="AC250" s="236">
        <v>3.2</v>
      </c>
      <c r="AD250" s="236">
        <v>4.8</v>
      </c>
      <c r="AE250" s="236">
        <v>9.6</v>
      </c>
      <c r="AF250" s="236">
        <v>11.200000000000001</v>
      </c>
      <c r="AG250" s="237">
        <v>16</v>
      </c>
      <c r="AJ250" s="7" t="s">
        <v>5</v>
      </c>
      <c r="AK250" s="8">
        <v>0</v>
      </c>
      <c r="AL250" s="8">
        <v>0.2</v>
      </c>
      <c r="AM250" s="9">
        <v>0.3</v>
      </c>
      <c r="AN250" s="9">
        <v>0.6</v>
      </c>
      <c r="AO250" s="10">
        <v>0.7</v>
      </c>
      <c r="AP250" s="11">
        <v>1</v>
      </c>
    </row>
    <row r="251" spans="18:42" x14ac:dyDescent="0.25">
      <c r="R251" s="4" t="s">
        <v>15</v>
      </c>
      <c r="S251" s="5">
        <v>0</v>
      </c>
      <c r="T251" s="5"/>
      <c r="U251" s="5">
        <v>40</v>
      </c>
      <c r="V251" s="5"/>
      <c r="W251" s="5"/>
      <c r="X251" s="6">
        <v>100</v>
      </c>
      <c r="AA251" s="234" t="s">
        <v>292</v>
      </c>
      <c r="AB251" s="235">
        <v>0</v>
      </c>
      <c r="AC251" s="236">
        <v>3</v>
      </c>
      <c r="AD251" s="236">
        <v>4.5</v>
      </c>
      <c r="AE251" s="236">
        <v>9</v>
      </c>
      <c r="AF251" s="236">
        <v>10.5</v>
      </c>
      <c r="AG251" s="237">
        <v>15</v>
      </c>
    </row>
    <row r="252" spans="18:42" ht="15.75" thickBot="1" x14ac:dyDescent="0.3">
      <c r="R252" s="7" t="s">
        <v>16</v>
      </c>
      <c r="S252" s="8">
        <v>0</v>
      </c>
      <c r="T252" s="8">
        <v>0.2</v>
      </c>
      <c r="U252" s="9">
        <v>0.3</v>
      </c>
      <c r="V252" s="9">
        <v>0.6</v>
      </c>
      <c r="W252" s="10">
        <v>0.7</v>
      </c>
      <c r="X252" s="11">
        <v>1</v>
      </c>
      <c r="AA252" s="7" t="s">
        <v>5</v>
      </c>
      <c r="AB252" s="8">
        <v>0</v>
      </c>
      <c r="AC252" s="8">
        <v>0.2</v>
      </c>
      <c r="AD252" s="9">
        <v>0.3</v>
      </c>
      <c r="AE252" s="9">
        <v>0.6</v>
      </c>
      <c r="AF252" s="10">
        <v>0.7</v>
      </c>
      <c r="AG252" s="11">
        <v>1</v>
      </c>
      <c r="AK252" s="175" t="s">
        <v>374</v>
      </c>
    </row>
    <row r="253" spans="18:42" x14ac:dyDescent="0.25">
      <c r="AI253" s="13"/>
      <c r="AJ253" s="183" t="s">
        <v>259</v>
      </c>
      <c r="AK253" s="13">
        <v>-3.4600000000000001E-4</v>
      </c>
    </row>
    <row r="254" spans="18:42" x14ac:dyDescent="0.25">
      <c r="R254" s="184"/>
      <c r="S254" s="376" t="s">
        <v>374</v>
      </c>
      <c r="T254" s="184"/>
      <c r="U254" s="184"/>
      <c r="V254" s="184"/>
      <c r="W254" s="184"/>
      <c r="X254" s="184"/>
      <c r="AB254" s="179" t="s">
        <v>366</v>
      </c>
      <c r="AC254" s="179"/>
      <c r="AD254" s="179"/>
      <c r="AJ254" s="183" t="s">
        <v>260</v>
      </c>
      <c r="AK254" s="13">
        <v>5.806E-2</v>
      </c>
    </row>
    <row r="255" spans="18:42" x14ac:dyDescent="0.25">
      <c r="R255" s="188" t="s">
        <v>259</v>
      </c>
      <c r="S255" s="184">
        <v>4.1666699999999999E-5</v>
      </c>
      <c r="T255" s="184"/>
      <c r="U255" s="184"/>
      <c r="V255" s="184"/>
      <c r="W255" s="184"/>
      <c r="X255" s="184"/>
      <c r="AB255" s="14" t="s">
        <v>294</v>
      </c>
      <c r="AC255" s="14" t="s">
        <v>295</v>
      </c>
      <c r="AD255" s="14" t="s">
        <v>296</v>
      </c>
      <c r="AJ255" s="183" t="s">
        <v>267</v>
      </c>
      <c r="AK255" s="13">
        <v>-1.24</v>
      </c>
    </row>
    <row r="256" spans="18:42" x14ac:dyDescent="0.25">
      <c r="R256" s="188" t="s">
        <v>260</v>
      </c>
      <c r="S256" s="184">
        <v>5.8332999999999996E-3</v>
      </c>
      <c r="T256" s="184"/>
      <c r="U256" s="184"/>
      <c r="V256" s="184"/>
      <c r="W256" s="184"/>
      <c r="X256" s="184"/>
      <c r="AA256" s="231" t="s">
        <v>259</v>
      </c>
      <c r="AB256" s="13">
        <v>7.1400000000000005E-2</v>
      </c>
      <c r="AC256" s="14">
        <v>6.25E-2</v>
      </c>
      <c r="AD256" s="14">
        <v>6.6699999999999995E-2</v>
      </c>
      <c r="AK256" s="13"/>
      <c r="AL256" s="16"/>
    </row>
    <row r="257" spans="18:37" x14ac:dyDescent="0.25">
      <c r="R257" s="185" t="s">
        <v>267</v>
      </c>
      <c r="S257" s="184">
        <v>0</v>
      </c>
      <c r="T257" s="184"/>
      <c r="U257" s="184"/>
      <c r="V257" s="186"/>
      <c r="W257" s="184"/>
      <c r="X257" s="184"/>
      <c r="AA257" s="231" t="s">
        <v>260</v>
      </c>
      <c r="AB257" s="13">
        <v>0</v>
      </c>
      <c r="AC257" s="14">
        <v>0</v>
      </c>
      <c r="AD257" s="14">
        <v>0</v>
      </c>
      <c r="AK257" s="13"/>
    </row>
    <row r="258" spans="18:37" x14ac:dyDescent="0.25">
      <c r="R258" s="184"/>
      <c r="S258" s="184"/>
      <c r="T258" s="187"/>
      <c r="U258" s="184"/>
      <c r="V258" s="184"/>
      <c r="W258" s="184"/>
      <c r="X258" s="187"/>
      <c r="AA258" s="13"/>
      <c r="AB258" s="13"/>
      <c r="AC258" s="13"/>
    </row>
    <row r="259" spans="18:37" x14ac:dyDescent="0.25">
      <c r="R259" s="184"/>
      <c r="S259" s="184"/>
      <c r="T259" s="187"/>
      <c r="U259" s="184"/>
      <c r="V259" s="184"/>
      <c r="W259" s="184"/>
      <c r="X259" s="187"/>
      <c r="AA259" s="13"/>
      <c r="AB259" s="13"/>
      <c r="AC259" s="146"/>
    </row>
    <row r="260" spans="18:37" x14ac:dyDescent="0.25">
      <c r="AA260" s="13"/>
      <c r="AB260" s="13"/>
      <c r="AC260" s="13"/>
    </row>
    <row r="282" spans="18:33" ht="15.75" thickBot="1" x14ac:dyDescent="0.3">
      <c r="AA282" s="14" t="s">
        <v>299</v>
      </c>
    </row>
    <row r="283" spans="18:33" ht="30.75" thickBot="1" x14ac:dyDescent="0.3">
      <c r="R283" s="14" t="s">
        <v>344</v>
      </c>
      <c r="AA283" s="4" t="s">
        <v>290</v>
      </c>
      <c r="AB283" s="5">
        <v>0</v>
      </c>
      <c r="AC283" s="5">
        <v>3.5999999999999996</v>
      </c>
      <c r="AD283" s="5">
        <v>5.4</v>
      </c>
      <c r="AE283" s="5">
        <v>10.8</v>
      </c>
      <c r="AF283" s="5">
        <v>12.6</v>
      </c>
      <c r="AG283" s="6">
        <v>18</v>
      </c>
    </row>
    <row r="284" spans="18:33" x14ac:dyDescent="0.25">
      <c r="R284" s="4" t="s">
        <v>15</v>
      </c>
      <c r="S284" s="5">
        <v>0</v>
      </c>
      <c r="T284" s="5"/>
      <c r="U284" s="5"/>
      <c r="V284" s="5">
        <v>260</v>
      </c>
      <c r="W284" s="5"/>
      <c r="X284" s="6"/>
      <c r="AA284" s="234" t="s">
        <v>291</v>
      </c>
      <c r="AB284" s="235">
        <v>0</v>
      </c>
      <c r="AC284" s="236">
        <v>2.4</v>
      </c>
      <c r="AD284" s="236">
        <v>3.5999999999999996</v>
      </c>
      <c r="AE284" s="236">
        <v>7.1999999999999993</v>
      </c>
      <c r="AF284" s="236">
        <v>8.4</v>
      </c>
      <c r="AG284" s="237">
        <v>12</v>
      </c>
    </row>
    <row r="285" spans="18:33" ht="15.75" thickBot="1" x14ac:dyDescent="0.3">
      <c r="R285" s="7" t="s">
        <v>16</v>
      </c>
      <c r="S285" s="8">
        <v>0</v>
      </c>
      <c r="T285" s="8">
        <v>0.28999999999999998</v>
      </c>
      <c r="U285" s="9">
        <v>0.3</v>
      </c>
      <c r="V285" s="9">
        <v>0.5</v>
      </c>
      <c r="W285" s="10">
        <v>0.7</v>
      </c>
      <c r="X285" s="11">
        <v>1</v>
      </c>
      <c r="AA285" s="234" t="s">
        <v>292</v>
      </c>
      <c r="AB285" s="55">
        <v>0</v>
      </c>
      <c r="AC285" s="55">
        <v>2.8000000000000003</v>
      </c>
      <c r="AD285" s="55">
        <v>4.2</v>
      </c>
      <c r="AE285" s="55">
        <v>8.4</v>
      </c>
      <c r="AF285" s="55">
        <v>9.8000000000000007</v>
      </c>
      <c r="AG285" s="61">
        <v>14.000000000000002</v>
      </c>
    </row>
    <row r="286" spans="18:33" ht="15.75" thickBot="1" x14ac:dyDescent="0.3">
      <c r="AA286" s="7" t="s">
        <v>5</v>
      </c>
      <c r="AB286" s="8">
        <v>0</v>
      </c>
      <c r="AC286" s="8">
        <v>0.2</v>
      </c>
      <c r="AD286" s="9">
        <v>0.3</v>
      </c>
      <c r="AE286" s="9">
        <v>0.6</v>
      </c>
      <c r="AF286" s="10">
        <v>0.7</v>
      </c>
      <c r="AG286" s="11">
        <v>1</v>
      </c>
    </row>
    <row r="287" spans="18:33" x14ac:dyDescent="0.25">
      <c r="R287" s="13"/>
      <c r="S287" s="376" t="s">
        <v>449</v>
      </c>
      <c r="T287" s="13"/>
    </row>
    <row r="288" spans="18:33" x14ac:dyDescent="0.25">
      <c r="R288" s="231" t="s">
        <v>259</v>
      </c>
      <c r="S288" s="13">
        <v>1.923E-3</v>
      </c>
      <c r="T288" s="13"/>
      <c r="AB288" s="175" t="s">
        <v>366</v>
      </c>
      <c r="AC288" s="175"/>
      <c r="AD288" s="175"/>
    </row>
    <row r="289" spans="18:30" x14ac:dyDescent="0.25">
      <c r="R289" s="231" t="s">
        <v>260</v>
      </c>
      <c r="S289" s="13">
        <f>0</f>
        <v>0</v>
      </c>
      <c r="T289" s="13"/>
      <c r="AB289" s="14" t="s">
        <v>294</v>
      </c>
      <c r="AC289" s="14" t="s">
        <v>295</v>
      </c>
      <c r="AD289" s="14" t="s">
        <v>296</v>
      </c>
    </row>
    <row r="290" spans="18:30" x14ac:dyDescent="0.25">
      <c r="R290" s="13"/>
      <c r="S290" s="13"/>
      <c r="T290" s="146"/>
      <c r="AA290" s="231" t="s">
        <v>259</v>
      </c>
      <c r="AB290" s="13">
        <v>5.5599999999999997E-2</v>
      </c>
      <c r="AC290" s="13">
        <v>8.3299999999999999E-2</v>
      </c>
      <c r="AD290" s="14">
        <v>7.1400000000000005E-2</v>
      </c>
    </row>
    <row r="291" spans="18:30" x14ac:dyDescent="0.25">
      <c r="R291" s="13"/>
      <c r="S291" s="13"/>
      <c r="T291" s="13"/>
      <c r="AA291" s="231" t="s">
        <v>260</v>
      </c>
      <c r="AB291" s="13">
        <v>0</v>
      </c>
      <c r="AC291" s="13">
        <v>0</v>
      </c>
      <c r="AD291" s="1">
        <v>0</v>
      </c>
    </row>
    <row r="292" spans="18:30" x14ac:dyDescent="0.25">
      <c r="AA292" s="13"/>
      <c r="AB292" s="13"/>
      <c r="AC292" s="13"/>
    </row>
    <row r="293" spans="18:30" x14ac:dyDescent="0.25">
      <c r="AA293" s="13"/>
      <c r="AB293" s="13"/>
      <c r="AC293" s="146"/>
    </row>
    <row r="294" spans="18:30" x14ac:dyDescent="0.25">
      <c r="AA294" s="13"/>
      <c r="AB294" s="13"/>
      <c r="AC294" s="13"/>
    </row>
    <row r="318" spans="18:33" ht="15.75" thickBot="1" x14ac:dyDescent="0.3">
      <c r="R318" s="13" t="s">
        <v>254</v>
      </c>
      <c r="S318" s="13"/>
      <c r="T318" s="13"/>
      <c r="U318" s="13"/>
      <c r="V318" s="13"/>
      <c r="W318" s="13"/>
      <c r="X318" s="13"/>
      <c r="AA318" s="14" t="s">
        <v>300</v>
      </c>
    </row>
    <row r="319" spans="18:33" ht="30" x14ac:dyDescent="0.25">
      <c r="R319" s="4" t="s">
        <v>15</v>
      </c>
      <c r="S319" s="5">
        <v>0.01</v>
      </c>
      <c r="T319" s="5">
        <v>0.05</v>
      </c>
      <c r="U319" s="5"/>
      <c r="V319" s="5">
        <v>0.1</v>
      </c>
      <c r="W319" s="5"/>
      <c r="X319" s="6">
        <v>0.11</v>
      </c>
      <c r="AA319" s="4" t="s">
        <v>290</v>
      </c>
      <c r="AB319" s="152">
        <v>0</v>
      </c>
      <c r="AC319" s="232">
        <v>2.4</v>
      </c>
      <c r="AD319" s="232">
        <v>3.5999999999999996</v>
      </c>
      <c r="AE319" s="232">
        <v>7.1999999999999993</v>
      </c>
      <c r="AF319" s="232">
        <v>8.4</v>
      </c>
      <c r="AG319" s="233">
        <v>12</v>
      </c>
    </row>
    <row r="320" spans="18:33" ht="15.75" thickBot="1" x14ac:dyDescent="0.3">
      <c r="R320" s="7" t="s">
        <v>16</v>
      </c>
      <c r="S320" s="8">
        <v>0</v>
      </c>
      <c r="T320" s="8">
        <v>0.28999999999999998</v>
      </c>
      <c r="U320" s="9">
        <v>0.3</v>
      </c>
      <c r="V320" s="302">
        <v>0.65200000000000002</v>
      </c>
      <c r="W320" s="10">
        <v>0.7</v>
      </c>
      <c r="X320" s="11">
        <v>1</v>
      </c>
      <c r="AA320" s="234" t="s">
        <v>291</v>
      </c>
      <c r="AB320" s="235">
        <v>0</v>
      </c>
      <c r="AC320" s="236">
        <v>1</v>
      </c>
      <c r="AD320" s="236">
        <v>1.5</v>
      </c>
      <c r="AE320" s="236">
        <v>3</v>
      </c>
      <c r="AF320" s="236">
        <v>3.5000000000000004</v>
      </c>
      <c r="AG320" s="237">
        <v>5</v>
      </c>
    </row>
    <row r="321" spans="18:33" x14ac:dyDescent="0.25">
      <c r="AA321" s="234" t="s">
        <v>292</v>
      </c>
      <c r="AB321" s="235">
        <v>0</v>
      </c>
      <c r="AC321" s="236">
        <v>1.6</v>
      </c>
      <c r="AD321" s="236">
        <v>2.4</v>
      </c>
      <c r="AE321" s="236">
        <v>4.8</v>
      </c>
      <c r="AF321" s="236">
        <v>5.6000000000000005</v>
      </c>
      <c r="AG321" s="237">
        <v>8</v>
      </c>
    </row>
    <row r="322" spans="18:33" ht="15.75" thickBot="1" x14ac:dyDescent="0.3">
      <c r="S322" s="175" t="s">
        <v>366</v>
      </c>
      <c r="AA322" s="7" t="s">
        <v>5</v>
      </c>
      <c r="AB322" s="8">
        <v>0</v>
      </c>
      <c r="AC322" s="8">
        <v>0.2</v>
      </c>
      <c r="AD322" s="9">
        <v>0.3</v>
      </c>
      <c r="AE322" s="9">
        <v>0.6</v>
      </c>
      <c r="AF322" s="10">
        <v>0.7</v>
      </c>
      <c r="AG322" s="11">
        <v>1</v>
      </c>
    </row>
    <row r="323" spans="18:33" x14ac:dyDescent="0.25">
      <c r="R323" s="183" t="s">
        <v>259</v>
      </c>
      <c r="S323" s="13">
        <v>7.2439999999999998</v>
      </c>
      <c r="T323" s="13"/>
    </row>
    <row r="324" spans="18:33" x14ac:dyDescent="0.25">
      <c r="R324" s="183" t="s">
        <v>260</v>
      </c>
      <c r="S324" s="13">
        <v>-7.1999999999999995E-2</v>
      </c>
      <c r="T324" s="13"/>
      <c r="U324" s="301"/>
      <c r="AB324" s="175" t="s">
        <v>366</v>
      </c>
      <c r="AC324" s="175"/>
      <c r="AD324" s="175"/>
    </row>
    <row r="325" spans="18:33" ht="21" x14ac:dyDescent="0.35">
      <c r="R325" s="185"/>
      <c r="S325" s="13"/>
      <c r="T325" s="13"/>
      <c r="V325" s="145"/>
      <c r="W325" s="13"/>
      <c r="X325" s="13"/>
      <c r="AB325" s="14" t="s">
        <v>294</v>
      </c>
      <c r="AC325" s="14" t="s">
        <v>295</v>
      </c>
      <c r="AD325" s="14" t="s">
        <v>296</v>
      </c>
    </row>
    <row r="326" spans="18:33" x14ac:dyDescent="0.25">
      <c r="R326" s="185"/>
      <c r="S326" s="13"/>
      <c r="T326" s="146"/>
      <c r="V326" s="13"/>
      <c r="W326" s="13"/>
      <c r="X326" s="146"/>
      <c r="AA326" s="231" t="s">
        <v>259</v>
      </c>
      <c r="AB326" s="13">
        <v>8.3299999999999999E-2</v>
      </c>
      <c r="AC326" s="14">
        <v>0.2</v>
      </c>
      <c r="AD326" s="14">
        <v>0.125</v>
      </c>
    </row>
    <row r="327" spans="18:33" x14ac:dyDescent="0.25">
      <c r="R327" s="13"/>
      <c r="S327" s="13"/>
      <c r="T327" s="146"/>
      <c r="V327" s="13"/>
      <c r="W327" s="13"/>
      <c r="X327" s="146"/>
      <c r="AA327" s="231" t="s">
        <v>260</v>
      </c>
      <c r="AB327" s="13">
        <v>0</v>
      </c>
      <c r="AC327" s="14">
        <v>0</v>
      </c>
      <c r="AD327" s="14">
        <v>0</v>
      </c>
    </row>
    <row r="328" spans="18:33" x14ac:dyDescent="0.25">
      <c r="AA328" s="13"/>
      <c r="AB328" s="13"/>
      <c r="AC328" s="13"/>
    </row>
    <row r="329" spans="18:33" x14ac:dyDescent="0.25">
      <c r="AA329" s="13"/>
      <c r="AB329" s="13"/>
      <c r="AC329" s="146"/>
    </row>
    <row r="330" spans="18:33" x14ac:dyDescent="0.25">
      <c r="AA330" s="13"/>
      <c r="AB330" s="13"/>
      <c r="AC330" s="13"/>
    </row>
    <row r="352" spans="18:27" ht="15.75" thickBot="1" x14ac:dyDescent="0.3">
      <c r="R352" s="14" t="s">
        <v>200</v>
      </c>
      <c r="AA352" s="14" t="s">
        <v>302</v>
      </c>
    </row>
    <row r="353" spans="10:33" ht="30" x14ac:dyDescent="0.25">
      <c r="R353" s="4" t="s">
        <v>15</v>
      </c>
      <c r="S353" s="5"/>
      <c r="T353" s="5"/>
      <c r="U353" s="5">
        <v>8</v>
      </c>
      <c r="V353" s="5"/>
      <c r="W353" s="5">
        <v>5.01</v>
      </c>
      <c r="X353" s="5">
        <v>5</v>
      </c>
      <c r="Y353" s="246">
        <v>0.1</v>
      </c>
      <c r="AA353" s="4" t="s">
        <v>290</v>
      </c>
      <c r="AB353" s="152">
        <v>0</v>
      </c>
      <c r="AC353" s="232">
        <v>1.6</v>
      </c>
      <c r="AD353" s="232">
        <v>2.4</v>
      </c>
      <c r="AE353" s="232">
        <v>4.8</v>
      </c>
      <c r="AF353" s="232">
        <v>5.6000000000000005</v>
      </c>
      <c r="AG353" s="233">
        <v>8</v>
      </c>
    </row>
    <row r="354" spans="10:33" ht="15.75" thickBot="1" x14ac:dyDescent="0.3">
      <c r="R354" s="7" t="s">
        <v>16</v>
      </c>
      <c r="S354" s="8">
        <v>0</v>
      </c>
      <c r="T354" s="8">
        <v>0.28999999999999998</v>
      </c>
      <c r="U354" s="9">
        <v>0.3</v>
      </c>
      <c r="V354" s="9">
        <v>0.69</v>
      </c>
      <c r="W354" s="10">
        <v>0.7</v>
      </c>
      <c r="X354" s="10">
        <v>1</v>
      </c>
      <c r="Y354" s="247">
        <v>1</v>
      </c>
      <c r="AA354" s="234" t="s">
        <v>291</v>
      </c>
      <c r="AB354" s="235">
        <v>0</v>
      </c>
      <c r="AC354" s="236">
        <v>1.4000000000000001</v>
      </c>
      <c r="AD354" s="236">
        <v>2.1</v>
      </c>
      <c r="AE354" s="236">
        <v>4.2</v>
      </c>
      <c r="AF354" s="236">
        <v>4.9000000000000004</v>
      </c>
      <c r="AG354" s="237">
        <v>7.0000000000000009</v>
      </c>
    </row>
    <row r="355" spans="10:33" x14ac:dyDescent="0.25">
      <c r="AA355" s="234" t="s">
        <v>292</v>
      </c>
      <c r="AB355" s="235">
        <v>0</v>
      </c>
      <c r="AC355" s="236">
        <v>1.6</v>
      </c>
      <c r="AD355" s="236">
        <v>2.4</v>
      </c>
      <c r="AE355" s="236">
        <v>4.8</v>
      </c>
      <c r="AF355" s="236">
        <v>5.6000000000000005</v>
      </c>
      <c r="AG355" s="237">
        <v>8</v>
      </c>
    </row>
    <row r="356" spans="10:33" ht="15.75" thickBot="1" x14ac:dyDescent="0.3">
      <c r="R356" s="13"/>
      <c r="S356" s="175" t="s">
        <v>366</v>
      </c>
      <c r="T356" s="13"/>
      <c r="AA356" s="7" t="s">
        <v>5</v>
      </c>
      <c r="AB356" s="8">
        <v>0</v>
      </c>
      <c r="AC356" s="8">
        <v>0.2</v>
      </c>
      <c r="AD356" s="9">
        <v>0.3</v>
      </c>
      <c r="AE356" s="9">
        <v>0.6</v>
      </c>
      <c r="AF356" s="10">
        <v>0.7</v>
      </c>
      <c r="AG356" s="11">
        <v>1</v>
      </c>
    </row>
    <row r="357" spans="10:33" x14ac:dyDescent="0.25">
      <c r="R357" s="12" t="s">
        <v>259</v>
      </c>
      <c r="S357" s="13">
        <v>-0.1338</v>
      </c>
      <c r="T357" s="13"/>
    </row>
    <row r="358" spans="10:33" x14ac:dyDescent="0.25">
      <c r="J358" s="1"/>
      <c r="R358" s="12" t="s">
        <v>260</v>
      </c>
      <c r="S358" s="13">
        <v>1.3702000000000001</v>
      </c>
      <c r="T358" s="13"/>
      <c r="AB358" s="175" t="s">
        <v>366</v>
      </c>
      <c r="AC358" s="175"/>
      <c r="AD358" s="175"/>
    </row>
    <row r="359" spans="10:33" x14ac:dyDescent="0.25">
      <c r="J359" s="1"/>
      <c r="R359" s="13"/>
      <c r="S359" s="13"/>
      <c r="T359" s="146"/>
      <c r="AB359" s="14" t="s">
        <v>294</v>
      </c>
      <c r="AC359" s="14" t="s">
        <v>295</v>
      </c>
      <c r="AD359" s="14" t="s">
        <v>296</v>
      </c>
    </row>
    <row r="360" spans="10:33" x14ac:dyDescent="0.25">
      <c r="J360" s="1"/>
      <c r="R360" s="13"/>
      <c r="S360" s="13"/>
      <c r="T360" s="13"/>
      <c r="AA360" s="231" t="s">
        <v>259</v>
      </c>
      <c r="AB360" s="13">
        <v>0.125</v>
      </c>
      <c r="AC360" s="14">
        <v>0.1429</v>
      </c>
      <c r="AD360" s="14">
        <v>0.125</v>
      </c>
    </row>
    <row r="361" spans="10:33" x14ac:dyDescent="0.25">
      <c r="J361" s="1"/>
      <c r="AA361" s="231" t="s">
        <v>260</v>
      </c>
      <c r="AB361" s="13">
        <v>0</v>
      </c>
      <c r="AC361" s="14">
        <v>0</v>
      </c>
      <c r="AD361" s="14">
        <v>0</v>
      </c>
    </row>
    <row r="362" spans="10:33" x14ac:dyDescent="0.25">
      <c r="J362" s="1"/>
      <c r="AA362" s="13"/>
      <c r="AB362" s="13"/>
      <c r="AC362" s="13"/>
    </row>
    <row r="363" spans="10:33" x14ac:dyDescent="0.25">
      <c r="J363" s="1"/>
      <c r="AA363" s="13"/>
      <c r="AB363" s="13"/>
      <c r="AC363" s="146"/>
    </row>
    <row r="364" spans="10:33" x14ac:dyDescent="0.25">
      <c r="J364" s="1"/>
      <c r="AA364" s="13"/>
      <c r="AB364" s="13"/>
      <c r="AC364" s="13"/>
    </row>
    <row r="365" spans="10:33" x14ac:dyDescent="0.25">
      <c r="J365" s="1"/>
    </row>
    <row r="366" spans="10:33" x14ac:dyDescent="0.25">
      <c r="J366" s="1"/>
    </row>
    <row r="367" spans="10:33" x14ac:dyDescent="0.25">
      <c r="J367" s="1"/>
    </row>
    <row r="368" spans="10:33" x14ac:dyDescent="0.25">
      <c r="J368" s="1"/>
    </row>
    <row r="369" spans="10:27" x14ac:dyDescent="0.25">
      <c r="J369" s="1"/>
    </row>
    <row r="370" spans="10:27" x14ac:dyDescent="0.25">
      <c r="J370" s="1"/>
    </row>
    <row r="371" spans="10:27" x14ac:dyDescent="0.25">
      <c r="J371" s="1"/>
    </row>
    <row r="372" spans="10:27" x14ac:dyDescent="0.25">
      <c r="J372" s="1"/>
    </row>
    <row r="373" spans="10:27" x14ac:dyDescent="0.25">
      <c r="J373" s="1"/>
    </row>
    <row r="384" spans="10:27" ht="15.75" thickBot="1" x14ac:dyDescent="0.3">
      <c r="R384" s="14" t="s">
        <v>201</v>
      </c>
      <c r="AA384" s="14" t="s">
        <v>301</v>
      </c>
    </row>
    <row r="385" spans="18:33" ht="30" x14ac:dyDescent="0.25">
      <c r="R385" s="4" t="s">
        <v>15</v>
      </c>
      <c r="S385" s="152">
        <v>8.0668000000000006</v>
      </c>
      <c r="T385" s="284">
        <v>2.9416000000000002</v>
      </c>
      <c r="U385" s="20">
        <v>3.2</v>
      </c>
      <c r="V385" s="20">
        <v>7.8</v>
      </c>
      <c r="W385" s="20"/>
      <c r="X385" s="20">
        <v>4</v>
      </c>
      <c r="Y385" s="240">
        <v>7</v>
      </c>
      <c r="AA385" s="4" t="s">
        <v>290</v>
      </c>
      <c r="AB385" s="5">
        <v>0</v>
      </c>
      <c r="AC385" s="5">
        <v>6.6000000000000005</v>
      </c>
      <c r="AD385" s="5">
        <v>9.9</v>
      </c>
      <c r="AE385" s="5">
        <v>19.8</v>
      </c>
      <c r="AF385" s="5">
        <v>23.1</v>
      </c>
      <c r="AG385" s="6">
        <v>33</v>
      </c>
    </row>
    <row r="386" spans="18:33" ht="15.75" thickBot="1" x14ac:dyDescent="0.3">
      <c r="R386" s="7" t="s">
        <v>16</v>
      </c>
      <c r="S386" s="8">
        <v>0</v>
      </c>
      <c r="T386" s="8">
        <v>0</v>
      </c>
      <c r="U386" s="8">
        <v>0.28999999999999998</v>
      </c>
      <c r="V386" s="9">
        <v>0.3</v>
      </c>
      <c r="W386" s="9">
        <v>0.69</v>
      </c>
      <c r="X386" s="10">
        <v>1</v>
      </c>
      <c r="Y386" s="283">
        <v>1</v>
      </c>
      <c r="AA386" s="234" t="s">
        <v>291</v>
      </c>
      <c r="AB386" s="235">
        <v>0</v>
      </c>
      <c r="AC386" s="236">
        <v>2.8000000000000003</v>
      </c>
      <c r="AD386" s="236">
        <v>4.2</v>
      </c>
      <c r="AE386" s="236">
        <v>8.4</v>
      </c>
      <c r="AF386" s="236">
        <v>9.8000000000000007</v>
      </c>
      <c r="AG386" s="237">
        <v>14.000000000000002</v>
      </c>
    </row>
    <row r="387" spans="18:33" x14ac:dyDescent="0.25">
      <c r="AA387" s="234" t="s">
        <v>292</v>
      </c>
      <c r="AB387" s="55">
        <v>0</v>
      </c>
      <c r="AC387" s="55">
        <v>5</v>
      </c>
      <c r="AD387" s="55">
        <v>7.5</v>
      </c>
      <c r="AE387" s="55">
        <v>15</v>
      </c>
      <c r="AF387" s="55">
        <v>17.5</v>
      </c>
      <c r="AG387" s="61">
        <v>25</v>
      </c>
    </row>
    <row r="388" spans="18:33" ht="15.75" thickBot="1" x14ac:dyDescent="0.3">
      <c r="R388" s="13"/>
      <c r="S388" s="376" t="s">
        <v>374</v>
      </c>
      <c r="T388" s="249"/>
      <c r="AA388" s="7" t="s">
        <v>5</v>
      </c>
      <c r="AB388" s="8">
        <v>0</v>
      </c>
      <c r="AC388" s="8">
        <v>0.2</v>
      </c>
      <c r="AD388" s="9">
        <v>0.3</v>
      </c>
      <c r="AE388" s="9">
        <v>0.6</v>
      </c>
      <c r="AF388" s="10">
        <v>0.7</v>
      </c>
      <c r="AG388" s="11">
        <v>1</v>
      </c>
    </row>
    <row r="389" spans="18:33" x14ac:dyDescent="0.25">
      <c r="R389" s="12" t="s">
        <v>259</v>
      </c>
      <c r="S389" s="13">
        <v>-0.23169999999999999</v>
      </c>
      <c r="T389" s="13"/>
    </row>
    <row r="390" spans="18:33" x14ac:dyDescent="0.25">
      <c r="R390" s="12" t="s">
        <v>260</v>
      </c>
      <c r="S390" s="13">
        <v>2.5503</v>
      </c>
      <c r="T390" s="13"/>
      <c r="U390" s="16"/>
      <c r="AB390" s="175" t="s">
        <v>366</v>
      </c>
      <c r="AC390" s="175"/>
      <c r="AD390" s="175"/>
    </row>
    <row r="391" spans="18:33" x14ac:dyDescent="0.25">
      <c r="R391" s="12" t="s">
        <v>267</v>
      </c>
      <c r="S391" s="13">
        <v>-5.4969999999999999</v>
      </c>
      <c r="T391" s="146"/>
      <c r="AB391" s="14" t="s">
        <v>294</v>
      </c>
      <c r="AC391" s="14" t="s">
        <v>295</v>
      </c>
      <c r="AD391" s="14" t="s">
        <v>296</v>
      </c>
    </row>
    <row r="392" spans="18:33" x14ac:dyDescent="0.25">
      <c r="AA392" s="231" t="s">
        <v>259</v>
      </c>
      <c r="AB392" s="13">
        <v>3.0300000000000001E-2</v>
      </c>
      <c r="AC392" s="13">
        <v>7.1400000000000005E-2</v>
      </c>
      <c r="AD392" s="14">
        <v>0.04</v>
      </c>
    </row>
    <row r="393" spans="18:33" x14ac:dyDescent="0.25">
      <c r="AA393" s="231" t="s">
        <v>260</v>
      </c>
      <c r="AB393" s="13">
        <v>0</v>
      </c>
      <c r="AC393" s="13">
        <v>0</v>
      </c>
      <c r="AD393" s="1">
        <v>0</v>
      </c>
    </row>
    <row r="394" spans="18:33" x14ac:dyDescent="0.25">
      <c r="AA394" s="13"/>
      <c r="AB394" s="13"/>
      <c r="AC394" s="13"/>
    </row>
    <row r="395" spans="18:33" x14ac:dyDescent="0.25">
      <c r="AA395" s="13"/>
      <c r="AB395" s="13"/>
      <c r="AC395" s="146"/>
    </row>
    <row r="396" spans="18:33" x14ac:dyDescent="0.25">
      <c r="AA396" s="13"/>
      <c r="AB396" s="13"/>
      <c r="AC396" s="13"/>
    </row>
    <row r="410" spans="10:27" x14ac:dyDescent="0.25">
      <c r="J410" s="1"/>
    </row>
    <row r="411" spans="10:27" x14ac:dyDescent="0.25">
      <c r="J411" s="1"/>
    </row>
    <row r="412" spans="10:27" x14ac:dyDescent="0.25">
      <c r="J412" s="1"/>
    </row>
    <row r="413" spans="10:27" x14ac:dyDescent="0.25">
      <c r="J413" s="1"/>
    </row>
    <row r="414" spans="10:27" x14ac:dyDescent="0.25">
      <c r="J414" s="1"/>
    </row>
    <row r="416" spans="10:27" ht="15.75" thickBot="1" x14ac:dyDescent="0.3">
      <c r="R416" s="14" t="s">
        <v>202</v>
      </c>
      <c r="AA416" s="14" t="s">
        <v>303</v>
      </c>
    </row>
    <row r="417" spans="18:33" ht="30" x14ac:dyDescent="0.25">
      <c r="R417" s="563" t="s">
        <v>15</v>
      </c>
      <c r="S417" s="20"/>
      <c r="T417" s="20"/>
      <c r="U417" s="20">
        <v>3</v>
      </c>
      <c r="V417" s="20"/>
      <c r="W417" s="20"/>
      <c r="X417" s="240">
        <v>4</v>
      </c>
      <c r="Y417" s="250">
        <v>5.5</v>
      </c>
      <c r="AA417" s="4" t="s">
        <v>290</v>
      </c>
      <c r="AB417" s="152">
        <v>0</v>
      </c>
      <c r="AC417" s="232">
        <v>4</v>
      </c>
      <c r="AD417" s="232">
        <v>6</v>
      </c>
      <c r="AE417" s="232">
        <v>12</v>
      </c>
      <c r="AF417" s="232">
        <v>14.000000000000002</v>
      </c>
      <c r="AG417" s="233">
        <v>20</v>
      </c>
    </row>
    <row r="418" spans="18:33" x14ac:dyDescent="0.25">
      <c r="R418" s="564"/>
      <c r="S418" s="2"/>
      <c r="T418" s="2"/>
      <c r="U418" s="2">
        <v>7</v>
      </c>
      <c r="V418" s="2"/>
      <c r="W418" s="2"/>
      <c r="X418" s="248">
        <v>5.5</v>
      </c>
      <c r="Y418" s="251"/>
      <c r="AA418" s="234" t="s">
        <v>291</v>
      </c>
      <c r="AB418" s="235">
        <v>0</v>
      </c>
      <c r="AC418" s="236">
        <v>2.6</v>
      </c>
      <c r="AD418" s="236">
        <v>3.9</v>
      </c>
      <c r="AE418" s="236">
        <v>7.8</v>
      </c>
      <c r="AF418" s="236">
        <v>9.1</v>
      </c>
      <c r="AG418" s="237">
        <v>13</v>
      </c>
    </row>
    <row r="419" spans="18:33" ht="15.75" thickBot="1" x14ac:dyDescent="0.3">
      <c r="R419" s="7" t="s">
        <v>16</v>
      </c>
      <c r="S419" s="8">
        <v>0</v>
      </c>
      <c r="T419" s="8">
        <v>0.28999999999999998</v>
      </c>
      <c r="U419" s="9">
        <v>0.3</v>
      </c>
      <c r="V419" s="9">
        <v>0.69</v>
      </c>
      <c r="W419" s="10">
        <v>0.7</v>
      </c>
      <c r="X419" s="11">
        <v>1</v>
      </c>
      <c r="Y419" s="247">
        <v>1</v>
      </c>
      <c r="AA419" s="234" t="s">
        <v>292</v>
      </c>
      <c r="AB419" s="235">
        <v>0</v>
      </c>
      <c r="AC419" s="236">
        <v>2.4</v>
      </c>
      <c r="AD419" s="236">
        <v>3.5999999999999996</v>
      </c>
      <c r="AE419" s="236">
        <v>7.1999999999999993</v>
      </c>
      <c r="AF419" s="236">
        <v>8.4</v>
      </c>
      <c r="AG419" s="237">
        <v>12</v>
      </c>
    </row>
    <row r="420" spans="18:33" ht="15.75" thickBot="1" x14ac:dyDescent="0.3">
      <c r="AA420" s="7" t="s">
        <v>5</v>
      </c>
      <c r="AB420" s="8">
        <v>0</v>
      </c>
      <c r="AC420" s="8">
        <v>0.2</v>
      </c>
      <c r="AD420" s="9">
        <v>0.3</v>
      </c>
      <c r="AE420" s="9">
        <v>0.6</v>
      </c>
      <c r="AF420" s="10">
        <v>0.7</v>
      </c>
      <c r="AG420" s="11">
        <v>1</v>
      </c>
    </row>
    <row r="421" spans="18:33" x14ac:dyDescent="0.25">
      <c r="R421" s="13"/>
      <c r="S421" s="562" t="s">
        <v>366</v>
      </c>
      <c r="T421" s="562"/>
    </row>
    <row r="422" spans="18:33" x14ac:dyDescent="0.25">
      <c r="R422" s="13"/>
      <c r="S422" s="13" t="s">
        <v>270</v>
      </c>
      <c r="T422" s="13" t="s">
        <v>320</v>
      </c>
      <c r="AB422" s="175" t="s">
        <v>366</v>
      </c>
      <c r="AC422" s="175"/>
      <c r="AD422" s="175"/>
    </row>
    <row r="423" spans="18:33" x14ac:dyDescent="0.25">
      <c r="R423" s="12" t="s">
        <v>259</v>
      </c>
      <c r="S423" s="13">
        <v>0.7</v>
      </c>
      <c r="T423" s="13">
        <v>-0.4667</v>
      </c>
      <c r="AB423" s="14" t="s">
        <v>294</v>
      </c>
      <c r="AC423" s="14" t="s">
        <v>295</v>
      </c>
      <c r="AD423" s="14" t="s">
        <v>296</v>
      </c>
    </row>
    <row r="424" spans="18:33" x14ac:dyDescent="0.25">
      <c r="R424" s="12" t="s">
        <v>260</v>
      </c>
      <c r="S424" s="13">
        <v>-1.8</v>
      </c>
      <c r="T424" s="13">
        <v>3.5667</v>
      </c>
      <c r="AA424" s="231" t="s">
        <v>259</v>
      </c>
      <c r="AB424" s="13">
        <v>0.05</v>
      </c>
      <c r="AC424" s="14">
        <v>7.6899999999999996E-2</v>
      </c>
      <c r="AD424" s="14">
        <v>8.3299999999999999E-2</v>
      </c>
    </row>
    <row r="425" spans="18:33" x14ac:dyDescent="0.25">
      <c r="AA425" s="231" t="s">
        <v>260</v>
      </c>
      <c r="AB425" s="13">
        <v>0</v>
      </c>
      <c r="AC425" s="14">
        <v>0</v>
      </c>
      <c r="AD425" s="14">
        <v>0</v>
      </c>
    </row>
    <row r="426" spans="18:33" x14ac:dyDescent="0.25">
      <c r="AA426" s="13"/>
      <c r="AB426" s="13"/>
      <c r="AC426" s="13"/>
    </row>
    <row r="427" spans="18:33" x14ac:dyDescent="0.25">
      <c r="AA427" s="13"/>
      <c r="AB427" s="13"/>
      <c r="AC427" s="146"/>
    </row>
    <row r="428" spans="18:33" x14ac:dyDescent="0.25">
      <c r="AA428" s="13"/>
      <c r="AB428" s="13"/>
      <c r="AC428" s="13"/>
    </row>
    <row r="435" spans="10:37" x14ac:dyDescent="0.25">
      <c r="J435" s="1"/>
      <c r="K435" s="1"/>
      <c r="L435" s="1"/>
      <c r="M435" s="1"/>
      <c r="N435" s="1"/>
      <c r="O435" s="1"/>
      <c r="P435" s="1"/>
    </row>
    <row r="436" spans="10:37" x14ac:dyDescent="0.25">
      <c r="J436" s="1"/>
      <c r="K436" s="1"/>
      <c r="L436" s="1"/>
      <c r="M436" s="1"/>
      <c r="N436" s="1"/>
      <c r="O436" s="1"/>
      <c r="P436" s="1"/>
    </row>
    <row r="437" spans="10:37" x14ac:dyDescent="0.25">
      <c r="J437" s="1"/>
      <c r="K437" s="1"/>
      <c r="L437" s="1"/>
      <c r="M437" s="1"/>
      <c r="N437" s="1"/>
      <c r="O437" s="1"/>
      <c r="P437" s="1"/>
      <c r="AJ437" s="21"/>
      <c r="AK437" s="21"/>
    </row>
    <row r="438" spans="10:37" x14ac:dyDescent="0.25">
      <c r="J438" s="1"/>
      <c r="K438" s="1"/>
      <c r="L438" s="1"/>
      <c r="M438" s="1"/>
      <c r="N438" s="1"/>
      <c r="O438" s="1"/>
      <c r="P438" s="1"/>
      <c r="AJ438" s="55"/>
      <c r="AK438" s="21"/>
    </row>
    <row r="439" spans="10:37" x14ac:dyDescent="0.25">
      <c r="J439" s="1"/>
      <c r="K439" s="1"/>
      <c r="L439" s="1"/>
      <c r="M439" s="1"/>
      <c r="N439" s="1"/>
      <c r="O439" s="1"/>
      <c r="P439" s="1"/>
      <c r="AJ439" s="21"/>
      <c r="AK439" s="21"/>
    </row>
    <row r="440" spans="10:37" x14ac:dyDescent="0.25">
      <c r="J440" s="1"/>
      <c r="K440" s="1"/>
      <c r="L440" s="1"/>
      <c r="M440" s="1"/>
      <c r="N440" s="1"/>
      <c r="O440" s="1"/>
      <c r="P440" s="1"/>
      <c r="AJ440" s="21"/>
      <c r="AK440" s="21"/>
    </row>
    <row r="441" spans="10:37" x14ac:dyDescent="0.25">
      <c r="J441" s="1"/>
      <c r="K441" s="1"/>
      <c r="L441" s="1"/>
      <c r="M441" s="1"/>
      <c r="N441" s="1"/>
      <c r="O441" s="1"/>
      <c r="P441" s="1"/>
    </row>
    <row r="442" spans="10:37" x14ac:dyDescent="0.25">
      <c r="J442" s="1"/>
      <c r="K442" s="1"/>
      <c r="L442" s="1"/>
      <c r="M442" s="1"/>
      <c r="N442" s="1"/>
      <c r="O442" s="1"/>
      <c r="P442" s="1"/>
    </row>
    <row r="443" spans="10:37" x14ac:dyDescent="0.25">
      <c r="J443" s="1"/>
      <c r="K443" s="1"/>
      <c r="L443" s="1"/>
      <c r="M443" s="1"/>
      <c r="N443" s="1"/>
      <c r="O443" s="1"/>
      <c r="P443" s="1"/>
    </row>
    <row r="444" spans="10:37" x14ac:dyDescent="0.25">
      <c r="J444" s="1"/>
      <c r="K444" s="1"/>
      <c r="L444" s="1"/>
      <c r="M444" s="1"/>
      <c r="N444" s="1"/>
      <c r="O444" s="1"/>
      <c r="P444" s="1"/>
    </row>
    <row r="445" spans="10:37" x14ac:dyDescent="0.25">
      <c r="J445" s="1"/>
      <c r="K445" s="1"/>
      <c r="L445" s="1"/>
      <c r="M445" s="1"/>
      <c r="N445" s="1"/>
      <c r="O445" s="1"/>
      <c r="P445" s="1"/>
    </row>
    <row r="446" spans="10:37" x14ac:dyDescent="0.25">
      <c r="J446" s="1"/>
      <c r="K446" s="1"/>
      <c r="L446" s="1"/>
      <c r="M446" s="1"/>
      <c r="N446" s="1"/>
      <c r="O446" s="1"/>
      <c r="P446" s="1"/>
    </row>
    <row r="447" spans="10:37" x14ac:dyDescent="0.25">
      <c r="J447" s="1"/>
      <c r="K447" s="1"/>
      <c r="L447" s="1"/>
      <c r="M447" s="1"/>
      <c r="N447" s="1"/>
      <c r="O447" s="1"/>
      <c r="P447" s="1"/>
    </row>
    <row r="448" spans="10:37" x14ac:dyDescent="0.25">
      <c r="J448" s="1"/>
      <c r="K448" s="1"/>
      <c r="L448" s="1"/>
      <c r="M448" s="1"/>
      <c r="N448" s="1"/>
      <c r="O448" s="1"/>
      <c r="P448" s="1"/>
    </row>
    <row r="449" spans="10:33" x14ac:dyDescent="0.25">
      <c r="J449" s="1"/>
      <c r="K449" s="1"/>
      <c r="L449" s="1"/>
      <c r="M449" s="1"/>
      <c r="N449" s="1"/>
      <c r="O449" s="1"/>
      <c r="P449" s="1"/>
    </row>
    <row r="450" spans="10:33" ht="15.75" thickBot="1" x14ac:dyDescent="0.3">
      <c r="J450" s="1"/>
      <c r="K450" s="1"/>
      <c r="L450" s="1"/>
      <c r="M450" s="1"/>
      <c r="N450" s="1"/>
      <c r="O450" s="1"/>
      <c r="P450" s="1"/>
      <c r="R450" s="14" t="s">
        <v>321</v>
      </c>
      <c r="AA450" s="14" t="s">
        <v>304</v>
      </c>
    </row>
    <row r="451" spans="10:33" ht="30" x14ac:dyDescent="0.25">
      <c r="J451" s="1"/>
      <c r="K451" s="1"/>
      <c r="L451" s="1"/>
      <c r="M451" s="1"/>
      <c r="N451" s="1"/>
      <c r="O451" s="1"/>
      <c r="P451" s="1"/>
      <c r="R451" s="4" t="s">
        <v>15</v>
      </c>
      <c r="S451" s="5">
        <v>8</v>
      </c>
      <c r="T451" s="5"/>
      <c r="U451" s="20"/>
      <c r="V451" s="5"/>
      <c r="W451" s="5">
        <v>4</v>
      </c>
      <c r="X451" s="6">
        <v>0.6</v>
      </c>
      <c r="AA451" s="4" t="s">
        <v>290</v>
      </c>
      <c r="AB451" s="152">
        <v>0</v>
      </c>
      <c r="AC451" s="232">
        <v>3.4000000000000004</v>
      </c>
      <c r="AD451" s="232">
        <v>5.0999999999999996</v>
      </c>
      <c r="AE451" s="232">
        <v>10.199999999999999</v>
      </c>
      <c r="AF451" s="232">
        <v>11.899999999999999</v>
      </c>
      <c r="AG451" s="233">
        <v>17</v>
      </c>
    </row>
    <row r="452" spans="10:33" ht="15.75" thickBot="1" x14ac:dyDescent="0.3">
      <c r="J452" s="1"/>
      <c r="K452" s="1"/>
      <c r="L452" s="1"/>
      <c r="M452" s="1"/>
      <c r="N452" s="1"/>
      <c r="O452" s="1"/>
      <c r="P452" s="1"/>
      <c r="R452" s="7" t="s">
        <v>16</v>
      </c>
      <c r="S452" s="8">
        <v>0</v>
      </c>
      <c r="T452" s="8">
        <v>0.28999999999999998</v>
      </c>
      <c r="U452" s="9">
        <v>0.3</v>
      </c>
      <c r="V452" s="9">
        <v>0.69</v>
      </c>
      <c r="W452" s="10">
        <v>0.7</v>
      </c>
      <c r="X452" s="11">
        <v>1</v>
      </c>
      <c r="AA452" s="234" t="s">
        <v>291</v>
      </c>
      <c r="AB452" s="235">
        <v>0</v>
      </c>
      <c r="AC452" s="236">
        <v>3.2</v>
      </c>
      <c r="AD452" s="236">
        <v>4.8</v>
      </c>
      <c r="AE452" s="236">
        <v>9.6</v>
      </c>
      <c r="AF452" s="236">
        <v>11.200000000000001</v>
      </c>
      <c r="AG452" s="237">
        <v>16</v>
      </c>
    </row>
    <row r="453" spans="10:33" x14ac:dyDescent="0.25">
      <c r="J453" s="1"/>
      <c r="K453" s="1"/>
      <c r="L453" s="1"/>
      <c r="M453" s="1"/>
      <c r="N453" s="1"/>
      <c r="O453" s="1"/>
      <c r="P453" s="1"/>
      <c r="AA453" s="234" t="s">
        <v>292</v>
      </c>
      <c r="AB453" s="235">
        <v>0</v>
      </c>
      <c r="AC453" s="236">
        <v>1.6</v>
      </c>
      <c r="AD453" s="236">
        <v>2.4</v>
      </c>
      <c r="AE453" s="236">
        <v>4.8</v>
      </c>
      <c r="AF453" s="236">
        <v>5.6000000000000005</v>
      </c>
      <c r="AG453" s="237">
        <v>8</v>
      </c>
    </row>
    <row r="454" spans="10:33" ht="15.75" thickBot="1" x14ac:dyDescent="0.3">
      <c r="J454" s="1"/>
      <c r="K454" s="1"/>
      <c r="L454" s="1"/>
      <c r="M454" s="1"/>
      <c r="N454" s="1"/>
      <c r="O454" s="1"/>
      <c r="P454" s="1"/>
      <c r="S454" s="376" t="s">
        <v>374</v>
      </c>
      <c r="T454" s="175"/>
      <c r="AA454" s="7" t="s">
        <v>5</v>
      </c>
      <c r="AB454" s="8">
        <v>0</v>
      </c>
      <c r="AC454" s="8">
        <v>0.2</v>
      </c>
      <c r="AD454" s="9">
        <v>0.3</v>
      </c>
      <c r="AE454" s="9">
        <v>0.6</v>
      </c>
      <c r="AF454" s="10">
        <v>0.7</v>
      </c>
      <c r="AG454" s="11">
        <v>1</v>
      </c>
    </row>
    <row r="455" spans="10:33" x14ac:dyDescent="0.25">
      <c r="J455" s="1"/>
      <c r="K455" s="1"/>
      <c r="L455" s="1"/>
      <c r="M455" s="1"/>
      <c r="N455" s="1"/>
      <c r="O455" s="1"/>
      <c r="P455" s="1"/>
      <c r="R455" s="12" t="s">
        <v>259</v>
      </c>
      <c r="S455" s="14">
        <v>-1.1724999999999999E-2</v>
      </c>
    </row>
    <row r="456" spans="10:33" x14ac:dyDescent="0.25">
      <c r="J456" s="1"/>
      <c r="K456" s="1"/>
      <c r="L456" s="1"/>
      <c r="M456" s="1"/>
      <c r="N456" s="1"/>
      <c r="O456" s="1"/>
      <c r="P456" s="1"/>
      <c r="R456" s="12" t="s">
        <v>260</v>
      </c>
      <c r="S456" s="13">
        <v>-3.4299999999999997E-2</v>
      </c>
      <c r="T456" s="13"/>
      <c r="AB456" s="175" t="s">
        <v>366</v>
      </c>
      <c r="AC456" s="175"/>
      <c r="AD456" s="175"/>
    </row>
    <row r="457" spans="10:33" x14ac:dyDescent="0.25">
      <c r="J457" s="1"/>
      <c r="K457" s="1"/>
      <c r="L457" s="1"/>
      <c r="M457" s="1"/>
      <c r="N457" s="1"/>
      <c r="O457" s="1"/>
      <c r="P457" s="1"/>
      <c r="R457" s="12" t="s">
        <v>267</v>
      </c>
      <c r="S457" s="13">
        <v>1.0248010000000001</v>
      </c>
      <c r="T457" s="13"/>
      <c r="U457" s="16"/>
      <c r="AB457" s="14" t="s">
        <v>294</v>
      </c>
      <c r="AC457" s="14" t="s">
        <v>295</v>
      </c>
      <c r="AD457" s="14" t="s">
        <v>296</v>
      </c>
    </row>
    <row r="458" spans="10:33" x14ac:dyDescent="0.25">
      <c r="J458" s="1"/>
      <c r="K458" s="1"/>
      <c r="L458" s="1"/>
      <c r="M458" s="1"/>
      <c r="N458" s="1"/>
      <c r="O458" s="1"/>
      <c r="P458" s="1"/>
      <c r="R458" s="13"/>
      <c r="S458" s="13"/>
      <c r="T458" s="13"/>
      <c r="AA458" s="231" t="s">
        <v>259</v>
      </c>
      <c r="AB458" s="13">
        <v>5.8799999999999998E-2</v>
      </c>
      <c r="AC458" s="14">
        <v>6.25E-2</v>
      </c>
      <c r="AD458" s="14">
        <v>0.125</v>
      </c>
    </row>
    <row r="459" spans="10:33" x14ac:dyDescent="0.25">
      <c r="J459" s="1"/>
      <c r="K459" s="1"/>
      <c r="L459" s="1"/>
      <c r="M459" s="1"/>
      <c r="N459" s="1"/>
      <c r="O459" s="1"/>
      <c r="P459" s="1"/>
      <c r="AA459" s="231" t="s">
        <v>260</v>
      </c>
      <c r="AB459" s="13">
        <v>0</v>
      </c>
      <c r="AC459" s="14">
        <v>0</v>
      </c>
      <c r="AD459" s="14">
        <v>0</v>
      </c>
    </row>
    <row r="460" spans="10:33" x14ac:dyDescent="0.25">
      <c r="J460" s="1"/>
      <c r="K460" s="1"/>
      <c r="L460" s="1"/>
      <c r="M460" s="1"/>
      <c r="N460" s="1"/>
      <c r="O460" s="1"/>
      <c r="P460" s="1"/>
      <c r="AA460" s="13"/>
      <c r="AB460" s="13"/>
      <c r="AC460" s="13"/>
    </row>
    <row r="461" spans="10:33" x14ac:dyDescent="0.25">
      <c r="J461" s="1"/>
      <c r="K461" s="1"/>
      <c r="L461" s="1"/>
      <c r="M461" s="1"/>
      <c r="N461" s="1"/>
      <c r="O461" s="1"/>
      <c r="P461" s="1"/>
      <c r="AA461" s="13"/>
      <c r="AB461" s="13"/>
      <c r="AC461" s="146"/>
    </row>
    <row r="462" spans="10:33" x14ac:dyDescent="0.25">
      <c r="J462" s="1"/>
      <c r="K462" s="1"/>
      <c r="L462" s="1"/>
      <c r="M462" s="1"/>
      <c r="N462" s="1"/>
      <c r="O462" s="1"/>
      <c r="P462" s="1"/>
      <c r="AA462" s="13"/>
      <c r="AB462" s="13"/>
      <c r="AC462" s="13"/>
    </row>
    <row r="463" spans="10:33" x14ac:dyDescent="0.25">
      <c r="J463" s="1"/>
      <c r="K463" s="1"/>
      <c r="L463" s="1"/>
      <c r="M463" s="1"/>
      <c r="N463" s="1"/>
      <c r="O463" s="1"/>
      <c r="P463" s="1"/>
    </row>
    <row r="464" spans="10:33" x14ac:dyDescent="0.25">
      <c r="J464" s="1"/>
      <c r="K464" s="1"/>
      <c r="L464" s="1"/>
      <c r="M464" s="1"/>
      <c r="N464" s="1"/>
      <c r="O464" s="1"/>
      <c r="P464" s="1"/>
    </row>
    <row r="465" spans="10:16" x14ac:dyDescent="0.25">
      <c r="J465" s="1"/>
      <c r="K465" s="1"/>
      <c r="L465" s="1"/>
      <c r="M465" s="1"/>
      <c r="N465" s="1"/>
      <c r="O465" s="1"/>
      <c r="P465" s="1"/>
    </row>
    <row r="466" spans="10:16" x14ac:dyDescent="0.25">
      <c r="J466" s="1"/>
      <c r="K466" s="1"/>
      <c r="L466" s="1"/>
      <c r="M466" s="1"/>
      <c r="N466" s="1"/>
      <c r="O466" s="1"/>
      <c r="P466" s="1"/>
    </row>
    <row r="467" spans="10:16" x14ac:dyDescent="0.25">
      <c r="J467" s="1"/>
      <c r="K467" s="1"/>
      <c r="L467" s="1"/>
      <c r="M467" s="1"/>
      <c r="N467" s="1"/>
      <c r="O467" s="1"/>
      <c r="P467" s="1"/>
    </row>
    <row r="468" spans="10:16" x14ac:dyDescent="0.25">
      <c r="J468" s="1"/>
      <c r="K468" s="1"/>
      <c r="L468" s="1"/>
      <c r="M468" s="1"/>
      <c r="N468" s="1"/>
      <c r="O468" s="1"/>
      <c r="P468" s="1"/>
    </row>
    <row r="469" spans="10:16" x14ac:dyDescent="0.25">
      <c r="K469" s="1"/>
      <c r="L469" s="1"/>
      <c r="M469" s="1"/>
      <c r="N469" s="1"/>
      <c r="O469" s="1"/>
      <c r="P469" s="1"/>
    </row>
    <row r="470" spans="10:16" x14ac:dyDescent="0.25">
      <c r="K470" s="1"/>
      <c r="L470" s="1"/>
      <c r="M470" s="1"/>
      <c r="N470" s="1"/>
      <c r="O470" s="1"/>
      <c r="P470" s="1"/>
    </row>
    <row r="471" spans="10:16" x14ac:dyDescent="0.25">
      <c r="K471" s="1"/>
      <c r="L471" s="1"/>
      <c r="M471" s="1"/>
      <c r="N471" s="1"/>
      <c r="O471" s="1"/>
      <c r="P471" s="1"/>
    </row>
    <row r="472" spans="10:16" x14ac:dyDescent="0.25">
      <c r="K472" s="1"/>
      <c r="L472" s="1"/>
      <c r="M472" s="1"/>
      <c r="N472" s="1"/>
      <c r="O472" s="1"/>
      <c r="P472" s="1"/>
    </row>
    <row r="473" spans="10:16" x14ac:dyDescent="0.25">
      <c r="K473" s="1"/>
      <c r="L473" s="1"/>
      <c r="M473" s="1"/>
      <c r="N473" s="1"/>
      <c r="O473" s="1"/>
      <c r="P473" s="1"/>
    </row>
    <row r="474" spans="10:16" x14ac:dyDescent="0.25">
      <c r="K474" s="1"/>
      <c r="L474" s="1"/>
      <c r="M474" s="1"/>
      <c r="N474" s="1"/>
      <c r="O474" s="1"/>
      <c r="P474" s="1"/>
    </row>
    <row r="475" spans="10:16" x14ac:dyDescent="0.25">
      <c r="K475" s="1"/>
      <c r="L475" s="1"/>
      <c r="M475" s="1"/>
      <c r="N475" s="1"/>
      <c r="O475" s="1"/>
      <c r="P475" s="1"/>
    </row>
    <row r="476" spans="10:16" x14ac:dyDescent="0.25">
      <c r="K476" s="1"/>
      <c r="L476" s="1"/>
      <c r="M476" s="1"/>
      <c r="N476" s="1"/>
      <c r="O476" s="1"/>
      <c r="P476" s="1"/>
    </row>
    <row r="477" spans="10:16" x14ac:dyDescent="0.25">
      <c r="K477" s="1"/>
      <c r="L477" s="1"/>
      <c r="M477" s="1"/>
      <c r="N477" s="1"/>
      <c r="O477" s="1"/>
      <c r="P477" s="1"/>
    </row>
    <row r="478" spans="10:16" x14ac:dyDescent="0.25">
      <c r="K478" s="1"/>
      <c r="L478" s="1"/>
      <c r="M478" s="1"/>
      <c r="N478" s="1"/>
      <c r="O478" s="1"/>
      <c r="P478" s="1"/>
    </row>
    <row r="479" spans="10:16" x14ac:dyDescent="0.25">
      <c r="K479" s="1"/>
      <c r="L479" s="1"/>
      <c r="M479" s="1"/>
      <c r="N479" s="1"/>
      <c r="O479" s="1"/>
      <c r="P479" s="1"/>
    </row>
    <row r="480" spans="10:16" x14ac:dyDescent="0.25">
      <c r="K480" s="1"/>
      <c r="L480" s="1"/>
      <c r="M480" s="1"/>
      <c r="N480" s="1"/>
      <c r="O480" s="1"/>
      <c r="P480" s="1"/>
    </row>
    <row r="481" spans="11:33" x14ac:dyDescent="0.25">
      <c r="K481" s="1"/>
      <c r="L481" s="1"/>
      <c r="M481" s="1"/>
      <c r="N481" s="1"/>
      <c r="O481" s="1"/>
      <c r="P481" s="1"/>
    </row>
    <row r="483" spans="11:33" ht="15.75" thickBot="1" x14ac:dyDescent="0.3">
      <c r="R483" s="14" t="s">
        <v>60</v>
      </c>
      <c r="AA483" s="14" t="s">
        <v>190</v>
      </c>
    </row>
    <row r="484" spans="11:33" x14ac:dyDescent="0.25">
      <c r="R484" s="4" t="s">
        <v>15</v>
      </c>
      <c r="S484" s="220">
        <v>1.1000000000000001</v>
      </c>
      <c r="T484" s="5"/>
      <c r="U484" s="5">
        <v>1.2</v>
      </c>
      <c r="V484" s="5"/>
      <c r="W484" s="5">
        <v>1.51</v>
      </c>
      <c r="X484" s="221">
        <f>(X485-T490)/T489</f>
        <v>1.7425404944586531</v>
      </c>
      <c r="AA484" s="4" t="s">
        <v>4</v>
      </c>
      <c r="AB484" s="5">
        <v>3.9</v>
      </c>
      <c r="AC484" s="5"/>
      <c r="AD484" s="5">
        <v>2</v>
      </c>
      <c r="AE484" s="5"/>
      <c r="AF484" s="5">
        <v>0.7</v>
      </c>
      <c r="AG484" s="6">
        <v>0</v>
      </c>
    </row>
    <row r="485" spans="11:33" ht="15.75" thickBot="1" x14ac:dyDescent="0.3">
      <c r="R485" s="7" t="s">
        <v>16</v>
      </c>
      <c r="S485" s="8">
        <v>0</v>
      </c>
      <c r="T485" s="8">
        <v>0.28999999999999998</v>
      </c>
      <c r="U485" s="9">
        <v>0.3</v>
      </c>
      <c r="V485" s="9">
        <v>0.69</v>
      </c>
      <c r="W485" s="10">
        <v>0.7</v>
      </c>
      <c r="X485" s="11">
        <v>1</v>
      </c>
      <c r="AA485" s="7" t="s">
        <v>5</v>
      </c>
      <c r="AB485" s="8">
        <v>8.2173999999999997E-2</v>
      </c>
      <c r="AC485" s="8">
        <v>0.28999999999999998</v>
      </c>
      <c r="AD485" s="9">
        <v>0.3</v>
      </c>
      <c r="AE485" s="9">
        <v>0.69</v>
      </c>
      <c r="AF485" s="10">
        <v>0.7</v>
      </c>
      <c r="AG485" s="11">
        <v>1</v>
      </c>
    </row>
    <row r="487" spans="11:33" x14ac:dyDescent="0.25">
      <c r="S487" s="390" t="s">
        <v>366</v>
      </c>
      <c r="T487" s="390"/>
      <c r="AA487" s="13"/>
      <c r="AB487" s="376" t="s">
        <v>374</v>
      </c>
      <c r="AC487" s="13"/>
    </row>
    <row r="488" spans="11:33" x14ac:dyDescent="0.25">
      <c r="S488" s="222" t="s">
        <v>266</v>
      </c>
      <c r="T488" s="222" t="s">
        <v>279</v>
      </c>
      <c r="AA488" s="183" t="s">
        <v>259</v>
      </c>
      <c r="AB488" s="13">
        <v>6.0400000000000002E-2</v>
      </c>
      <c r="AC488" s="13"/>
      <c r="AE488" s="1"/>
      <c r="AF488" s="1"/>
      <c r="AG488" s="1"/>
    </row>
    <row r="489" spans="11:33" x14ac:dyDescent="0.25">
      <c r="R489" s="183" t="s">
        <v>259</v>
      </c>
      <c r="S489" s="13">
        <v>3</v>
      </c>
      <c r="T489" s="13">
        <v>1.2903</v>
      </c>
      <c r="AA489" s="183" t="s">
        <v>260</v>
      </c>
      <c r="AB489" s="13">
        <v>-0.47070000000000001</v>
      </c>
      <c r="AC489" s="13"/>
      <c r="AE489" s="1"/>
      <c r="AF489" s="181"/>
      <c r="AG489" s="181"/>
    </row>
    <row r="490" spans="11:33" x14ac:dyDescent="0.25">
      <c r="R490" s="183" t="s">
        <v>260</v>
      </c>
      <c r="S490" s="13">
        <v>-3.3</v>
      </c>
      <c r="T490" s="13">
        <v>-1.2484</v>
      </c>
      <c r="AA490" s="183" t="s">
        <v>267</v>
      </c>
      <c r="AB490" s="13">
        <v>1</v>
      </c>
      <c r="AC490" s="13"/>
      <c r="AE490" s="1"/>
      <c r="AF490" s="1"/>
      <c r="AG490" s="1"/>
    </row>
    <row r="491" spans="11:33" x14ac:dyDescent="0.25">
      <c r="R491" s="13"/>
      <c r="S491" s="13"/>
      <c r="T491" s="13"/>
      <c r="AA491" s="13"/>
      <c r="AB491" s="13"/>
      <c r="AC491" s="13"/>
      <c r="AD491" s="16"/>
      <c r="AE491" s="1"/>
      <c r="AF491" s="1"/>
      <c r="AG491" s="1"/>
    </row>
    <row r="492" spans="11:33" x14ac:dyDescent="0.25">
      <c r="R492" s="13"/>
      <c r="S492" s="13"/>
      <c r="T492" s="146"/>
      <c r="AA492" s="13"/>
      <c r="AB492" s="13"/>
      <c r="AC492" s="146"/>
      <c r="AE492" s="1"/>
      <c r="AF492" s="1"/>
      <c r="AG492" s="1"/>
    </row>
    <row r="493" spans="11:33" x14ac:dyDescent="0.25">
      <c r="R493" s="13"/>
      <c r="S493" s="13"/>
      <c r="T493" s="13"/>
    </row>
    <row r="499" spans="18:18" x14ac:dyDescent="0.25">
      <c r="R499" s="1"/>
    </row>
    <row r="500" spans="18:18" x14ac:dyDescent="0.25">
      <c r="R500" s="2"/>
    </row>
    <row r="501" spans="18:18" x14ac:dyDescent="0.25">
      <c r="R501" s="2"/>
    </row>
    <row r="502" spans="18:18" x14ac:dyDescent="0.25">
      <c r="R502" s="1"/>
    </row>
    <row r="503" spans="18:18" x14ac:dyDescent="0.25">
      <c r="R503" s="2"/>
    </row>
    <row r="504" spans="18:18" x14ac:dyDescent="0.25">
      <c r="R504" s="2"/>
    </row>
    <row r="505" spans="18:18" x14ac:dyDescent="0.25">
      <c r="R505" s="1"/>
    </row>
    <row r="506" spans="18:18" x14ac:dyDescent="0.25">
      <c r="R506" s="1"/>
    </row>
    <row r="507" spans="18:18" x14ac:dyDescent="0.25">
      <c r="R507" s="1"/>
    </row>
    <row r="508" spans="18:18" x14ac:dyDescent="0.25">
      <c r="R508" s="1"/>
    </row>
    <row r="509" spans="18:18" x14ac:dyDescent="0.25">
      <c r="R509" s="1"/>
    </row>
    <row r="510" spans="18:18" x14ac:dyDescent="0.25">
      <c r="R510" s="1"/>
    </row>
    <row r="511" spans="18:18" x14ac:dyDescent="0.25">
      <c r="R511" s="2"/>
    </row>
    <row r="512" spans="18:18" x14ac:dyDescent="0.25">
      <c r="R512" s="2"/>
    </row>
    <row r="513" spans="11:34" x14ac:dyDescent="0.25">
      <c r="K513" s="13"/>
      <c r="R513" s="1"/>
      <c r="S513" s="1"/>
      <c r="T513" s="1"/>
      <c r="U513" s="1"/>
      <c r="V513" s="1"/>
      <c r="W513" s="1"/>
      <c r="X513" s="1"/>
      <c r="Y513" s="1"/>
    </row>
    <row r="514" spans="11:34" x14ac:dyDescent="0.25">
      <c r="K514" s="13"/>
      <c r="R514" s="2"/>
      <c r="S514" s="2"/>
      <c r="T514" s="2"/>
      <c r="U514" s="2"/>
      <c r="V514" s="2"/>
      <c r="W514" s="2"/>
      <c r="X514" s="2"/>
      <c r="Y514" s="2"/>
    </row>
    <row r="515" spans="11:34" x14ac:dyDescent="0.25">
      <c r="K515" s="13"/>
      <c r="R515" s="2"/>
    </row>
    <row r="516" spans="11:34" ht="15.75" thickBot="1" x14ac:dyDescent="0.3">
      <c r="K516" s="13"/>
      <c r="R516" s="14" t="s">
        <v>61</v>
      </c>
      <c r="AA516" s="14" t="s">
        <v>191</v>
      </c>
    </row>
    <row r="517" spans="11:34" x14ac:dyDescent="0.25">
      <c r="K517" s="13"/>
      <c r="R517" s="4" t="s">
        <v>15</v>
      </c>
      <c r="S517" s="220">
        <v>1.1000000000000001</v>
      </c>
      <c r="T517" s="5"/>
      <c r="U517" s="5">
        <v>1.1499999999999999</v>
      </c>
      <c r="V517" s="5"/>
      <c r="W517" s="5">
        <v>1.21</v>
      </c>
      <c r="X517" s="221">
        <v>1.2513000000000001</v>
      </c>
      <c r="AA517" s="4" t="s">
        <v>4</v>
      </c>
      <c r="AB517" s="5">
        <v>0.23599999999999999</v>
      </c>
      <c r="AC517" s="5"/>
      <c r="AD517" s="5">
        <v>0.18</v>
      </c>
      <c r="AE517" s="5"/>
      <c r="AF517" s="5">
        <v>0.09</v>
      </c>
      <c r="AG517" s="6">
        <v>0</v>
      </c>
    </row>
    <row r="518" spans="11:34" ht="15.75" thickBot="1" x14ac:dyDescent="0.3">
      <c r="K518" s="13"/>
      <c r="R518" s="7" t="s">
        <v>16</v>
      </c>
      <c r="S518" s="8">
        <v>0</v>
      </c>
      <c r="T518" s="8">
        <v>0.28999999999999998</v>
      </c>
      <c r="U518" s="9">
        <v>0.3</v>
      </c>
      <c r="V518" s="9">
        <v>0.69</v>
      </c>
      <c r="W518" s="10">
        <v>0.7</v>
      </c>
      <c r="X518" s="11">
        <v>1</v>
      </c>
      <c r="AA518" s="7" t="s">
        <v>5</v>
      </c>
      <c r="AB518" s="8">
        <v>0</v>
      </c>
      <c r="AC518" s="8">
        <v>0.2</v>
      </c>
      <c r="AD518" s="9">
        <v>0.3</v>
      </c>
      <c r="AE518" s="9">
        <v>0.6</v>
      </c>
      <c r="AF518" s="10">
        <v>0.7</v>
      </c>
      <c r="AG518" s="11">
        <v>1</v>
      </c>
    </row>
    <row r="519" spans="11:34" x14ac:dyDescent="0.25">
      <c r="K519" s="13"/>
    </row>
    <row r="520" spans="11:34" x14ac:dyDescent="0.25">
      <c r="K520" s="13"/>
      <c r="L520" s="13"/>
      <c r="M520" s="13"/>
      <c r="N520" s="13"/>
      <c r="O520" s="13"/>
      <c r="P520" s="13"/>
      <c r="S520" s="376" t="s">
        <v>374</v>
      </c>
      <c r="AA520" s="13"/>
      <c r="AB520" s="376" t="s">
        <v>374</v>
      </c>
    </row>
    <row r="521" spans="11:34" x14ac:dyDescent="0.25">
      <c r="K521" s="13"/>
      <c r="L521" s="13"/>
      <c r="M521" s="13"/>
      <c r="N521" s="13"/>
      <c r="O521" s="13"/>
      <c r="P521" s="13"/>
      <c r="R521" s="183" t="s">
        <v>259</v>
      </c>
      <c r="S521" s="13">
        <v>6</v>
      </c>
      <c r="T521" s="13"/>
      <c r="AA521" s="183" t="s">
        <v>259</v>
      </c>
      <c r="AB521" s="13">
        <v>-6.2</v>
      </c>
      <c r="AC521" s="13"/>
    </row>
    <row r="522" spans="11:34" x14ac:dyDescent="0.25">
      <c r="K522" s="1"/>
      <c r="L522" s="1"/>
      <c r="M522" s="1"/>
      <c r="N522" s="1"/>
      <c r="O522" s="1"/>
      <c r="P522" s="1"/>
      <c r="Q522" s="13"/>
      <c r="R522" s="183" t="s">
        <v>260</v>
      </c>
      <c r="S522" s="13">
        <v>-7.47</v>
      </c>
      <c r="T522" s="13"/>
      <c r="AA522" s="183" t="s">
        <v>260</v>
      </c>
      <c r="AB522" s="13">
        <v>-2.77</v>
      </c>
      <c r="AC522" s="13"/>
      <c r="AE522" s="1"/>
      <c r="AF522" s="181"/>
      <c r="AG522" s="181"/>
      <c r="AH522" s="1"/>
    </row>
    <row r="523" spans="11:34" x14ac:dyDescent="0.25">
      <c r="K523" s="1"/>
      <c r="L523" s="1"/>
      <c r="M523" s="1"/>
      <c r="N523" s="1"/>
      <c r="O523" s="1"/>
      <c r="P523" s="1"/>
      <c r="Q523" s="13"/>
      <c r="R523" s="225" t="s">
        <v>267</v>
      </c>
      <c r="S523" s="13">
        <v>0.97150000000000003</v>
      </c>
      <c r="T523" s="13"/>
      <c r="AA523" s="183" t="s">
        <v>267</v>
      </c>
      <c r="AB523" s="13">
        <v>1</v>
      </c>
      <c r="AC523" s="13"/>
      <c r="AE523" s="1"/>
      <c r="AF523" s="1"/>
      <c r="AG523" s="1"/>
      <c r="AH523" s="181"/>
    </row>
    <row r="524" spans="11:34" x14ac:dyDescent="0.25">
      <c r="K524" s="1"/>
      <c r="L524" s="1"/>
      <c r="M524" s="1"/>
      <c r="N524" s="1"/>
      <c r="O524" s="1"/>
      <c r="P524" s="1"/>
      <c r="R524" s="13"/>
      <c r="S524" s="13"/>
      <c r="T524" s="146"/>
      <c r="AA524" s="13"/>
      <c r="AB524" s="13"/>
      <c r="AC524" s="13"/>
      <c r="AD524" s="16"/>
      <c r="AE524" s="1"/>
      <c r="AF524" s="1"/>
      <c r="AG524" s="1"/>
      <c r="AH524" s="1"/>
    </row>
    <row r="525" spans="11:34" x14ac:dyDescent="0.25">
      <c r="K525" s="2"/>
      <c r="L525" s="2"/>
      <c r="M525" s="2"/>
      <c r="N525" s="2"/>
      <c r="O525" s="2"/>
      <c r="P525" s="2"/>
      <c r="R525" s="13"/>
      <c r="S525" s="13"/>
      <c r="T525" s="13"/>
      <c r="AA525" s="13"/>
      <c r="AB525" s="13"/>
      <c r="AC525" s="146"/>
      <c r="AE525" s="1"/>
      <c r="AF525" s="1"/>
      <c r="AG525" s="1"/>
      <c r="AH525" s="1"/>
    </row>
    <row r="526" spans="11:34" x14ac:dyDescent="0.25">
      <c r="K526" s="2"/>
      <c r="L526" s="2"/>
      <c r="M526" s="2"/>
      <c r="N526" s="2"/>
      <c r="O526" s="2"/>
      <c r="P526" s="2"/>
      <c r="AH526" s="1"/>
    </row>
    <row r="527" spans="11:34" x14ac:dyDescent="0.25">
      <c r="K527" s="1"/>
      <c r="L527" s="1"/>
      <c r="M527" s="1"/>
      <c r="N527" s="1"/>
      <c r="O527" s="1"/>
      <c r="P527" s="1"/>
    </row>
    <row r="528" spans="11:34" x14ac:dyDescent="0.25">
      <c r="K528" s="1"/>
      <c r="L528" s="1"/>
      <c r="M528" s="1"/>
      <c r="N528" s="1"/>
      <c r="O528" s="1"/>
      <c r="P528" s="1"/>
    </row>
    <row r="529" spans="11:18" x14ac:dyDescent="0.25">
      <c r="K529" s="1"/>
      <c r="L529" s="1"/>
      <c r="M529" s="1"/>
      <c r="N529" s="1"/>
      <c r="O529" s="1"/>
      <c r="P529" s="1"/>
    </row>
    <row r="530" spans="11:18" x14ac:dyDescent="0.25">
      <c r="K530" s="1"/>
      <c r="L530" s="1"/>
      <c r="M530" s="1"/>
      <c r="N530" s="1"/>
      <c r="O530" s="1"/>
      <c r="P530" s="1"/>
    </row>
    <row r="531" spans="11:18" x14ac:dyDescent="0.25">
      <c r="K531" s="1"/>
      <c r="L531" s="1"/>
      <c r="M531" s="1"/>
      <c r="N531" s="1"/>
      <c r="O531" s="1"/>
      <c r="P531" s="1"/>
      <c r="R531" s="1"/>
    </row>
    <row r="532" spans="11:18" x14ac:dyDescent="0.25">
      <c r="K532" s="1"/>
      <c r="L532" s="1"/>
      <c r="M532" s="17"/>
      <c r="N532" s="1"/>
      <c r="O532" s="1"/>
      <c r="P532" s="1"/>
    </row>
    <row r="533" spans="11:18" x14ac:dyDescent="0.25">
      <c r="K533" s="1"/>
      <c r="L533" s="1"/>
      <c r="M533" s="1"/>
      <c r="N533" s="1"/>
      <c r="O533" s="1"/>
      <c r="P533" s="1"/>
    </row>
    <row r="534" spans="11:18" x14ac:dyDescent="0.25">
      <c r="K534" s="1"/>
      <c r="L534" s="1"/>
      <c r="M534" s="1"/>
      <c r="N534" s="1"/>
      <c r="O534" s="1"/>
      <c r="P534" s="1"/>
    </row>
    <row r="535" spans="11:18" x14ac:dyDescent="0.25">
      <c r="K535" s="1"/>
      <c r="L535" s="1"/>
      <c r="M535" s="1"/>
      <c r="N535" s="1"/>
      <c r="O535" s="1"/>
      <c r="P535" s="1"/>
    </row>
    <row r="536" spans="11:18" x14ac:dyDescent="0.25">
      <c r="K536" s="1"/>
      <c r="L536" s="1"/>
      <c r="M536" s="1"/>
      <c r="N536" s="1"/>
      <c r="O536" s="1"/>
      <c r="P536" s="1"/>
    </row>
    <row r="537" spans="11:18" x14ac:dyDescent="0.25">
      <c r="K537" s="1"/>
      <c r="L537" s="1"/>
      <c r="M537" s="1"/>
      <c r="N537" s="1"/>
      <c r="O537" s="1"/>
      <c r="P537" s="1"/>
    </row>
    <row r="538" spans="11:18" x14ac:dyDescent="0.25">
      <c r="K538" s="2"/>
      <c r="L538" s="2"/>
      <c r="M538" s="2"/>
      <c r="N538" s="2"/>
      <c r="O538" s="2"/>
      <c r="P538" s="2"/>
    </row>
    <row r="539" spans="11:18" x14ac:dyDescent="0.25">
      <c r="K539" s="2"/>
      <c r="L539" s="2"/>
      <c r="M539" s="2"/>
      <c r="N539" s="2"/>
      <c r="O539" s="2"/>
      <c r="P539" s="2"/>
    </row>
    <row r="540" spans="11:18" x14ac:dyDescent="0.25">
      <c r="K540" s="1"/>
      <c r="L540" s="1"/>
      <c r="M540" s="1"/>
      <c r="N540" s="1"/>
      <c r="O540" s="1"/>
      <c r="P540" s="1"/>
    </row>
    <row r="541" spans="11:18" x14ac:dyDescent="0.25">
      <c r="K541" s="1"/>
      <c r="L541" s="1"/>
      <c r="M541" s="1"/>
      <c r="N541" s="1"/>
      <c r="O541" s="1"/>
      <c r="P541" s="1"/>
    </row>
    <row r="542" spans="11:18" x14ac:dyDescent="0.25">
      <c r="K542" s="1"/>
      <c r="L542" s="1"/>
      <c r="M542" s="1"/>
      <c r="N542" s="1"/>
      <c r="O542" s="1"/>
      <c r="P542" s="1"/>
    </row>
    <row r="543" spans="11:18" x14ac:dyDescent="0.25">
      <c r="K543" s="1"/>
      <c r="L543" s="1"/>
      <c r="M543" s="1"/>
      <c r="N543" s="1"/>
      <c r="O543" s="1"/>
      <c r="P543" s="1"/>
    </row>
    <row r="544" spans="11:18" x14ac:dyDescent="0.25">
      <c r="K544" s="1"/>
      <c r="L544" s="1"/>
      <c r="M544" s="1"/>
      <c r="N544" s="1"/>
      <c r="O544" s="1"/>
      <c r="P544" s="1"/>
    </row>
    <row r="545" spans="11:34" x14ac:dyDescent="0.25">
      <c r="K545" s="1"/>
      <c r="L545" s="1"/>
      <c r="M545" s="1"/>
      <c r="N545" s="17"/>
      <c r="O545" s="1"/>
      <c r="P545" s="1"/>
    </row>
    <row r="546" spans="11:34" x14ac:dyDescent="0.25">
      <c r="K546" s="13"/>
      <c r="L546" s="13"/>
      <c r="M546" s="13"/>
      <c r="N546" s="13"/>
      <c r="O546" s="13"/>
      <c r="P546" s="13"/>
    </row>
    <row r="547" spans="11:34" x14ac:dyDescent="0.25">
      <c r="K547" s="13"/>
      <c r="L547" s="13"/>
      <c r="M547" s="13"/>
      <c r="N547" s="13"/>
      <c r="O547" s="13"/>
      <c r="P547" s="13"/>
    </row>
    <row r="548" spans="11:34" x14ac:dyDescent="0.25">
      <c r="K548" s="13"/>
      <c r="L548" s="13"/>
      <c r="M548" s="13"/>
      <c r="N548" s="13"/>
      <c r="O548" s="13"/>
      <c r="P548" s="13"/>
    </row>
    <row r="550" spans="11:34" ht="15.75" thickBot="1" x14ac:dyDescent="0.3">
      <c r="R550" s="14" t="s">
        <v>271</v>
      </c>
    </row>
    <row r="551" spans="11:34" x14ac:dyDescent="0.25">
      <c r="R551" s="4" t="s">
        <v>15</v>
      </c>
      <c r="S551" s="220">
        <v>1.1000000000000001</v>
      </c>
      <c r="T551" s="5"/>
      <c r="U551" s="5">
        <v>1.2</v>
      </c>
      <c r="V551" s="5"/>
      <c r="W551" s="5">
        <v>1.51</v>
      </c>
      <c r="X551" s="221">
        <v>1.7425404944586531</v>
      </c>
    </row>
    <row r="552" spans="11:34" ht="15.75" thickBot="1" x14ac:dyDescent="0.3">
      <c r="R552" s="7" t="s">
        <v>16</v>
      </c>
      <c r="S552" s="8">
        <v>0</v>
      </c>
      <c r="T552" s="8">
        <v>0.28999999999999998</v>
      </c>
      <c r="U552" s="9">
        <v>0.3</v>
      </c>
      <c r="V552" s="9">
        <v>0.69</v>
      </c>
      <c r="W552" s="10">
        <v>0.7</v>
      </c>
      <c r="X552" s="11">
        <v>1</v>
      </c>
    </row>
    <row r="554" spans="11:34" x14ac:dyDescent="0.25">
      <c r="S554" s="390" t="s">
        <v>366</v>
      </c>
      <c r="T554" s="390"/>
    </row>
    <row r="555" spans="11:34" x14ac:dyDescent="0.25">
      <c r="S555" s="222" t="s">
        <v>266</v>
      </c>
      <c r="T555" s="222" t="s">
        <v>279</v>
      </c>
    </row>
    <row r="556" spans="11:34" x14ac:dyDescent="0.25">
      <c r="R556" s="224" t="s">
        <v>259</v>
      </c>
      <c r="S556" s="13">
        <v>3</v>
      </c>
      <c r="T556" s="13">
        <v>1.2902</v>
      </c>
      <c r="AH556" s="181"/>
    </row>
    <row r="557" spans="11:34" x14ac:dyDescent="0.25">
      <c r="R557" s="224" t="s">
        <v>260</v>
      </c>
      <c r="S557" s="13">
        <v>-3.3</v>
      </c>
      <c r="T557" s="13">
        <v>-1.2483</v>
      </c>
      <c r="AH557" s="1"/>
    </row>
    <row r="558" spans="11:34" x14ac:dyDescent="0.25">
      <c r="R558" s="13"/>
      <c r="S558" s="13"/>
      <c r="T558" s="13"/>
      <c r="AH558" s="1"/>
    </row>
    <row r="559" spans="11:34" x14ac:dyDescent="0.25">
      <c r="R559" s="13"/>
      <c r="S559" s="13"/>
      <c r="T559" s="146"/>
      <c r="AH559" s="1"/>
    </row>
    <row r="560" spans="11:34" x14ac:dyDescent="0.25">
      <c r="R560" s="13"/>
      <c r="S560" s="13"/>
      <c r="T560" s="13"/>
    </row>
    <row r="561" spans="18:25" x14ac:dyDescent="0.25">
      <c r="R561" s="13"/>
      <c r="S561" s="13"/>
      <c r="T561" s="13"/>
    </row>
    <row r="571" spans="18:25" x14ac:dyDescent="0.25">
      <c r="S571" s="1"/>
      <c r="T571" s="1"/>
      <c r="U571" s="1"/>
      <c r="V571" s="1"/>
      <c r="W571" s="1"/>
      <c r="X571" s="1"/>
      <c r="Y571" s="1"/>
    </row>
    <row r="572" spans="18:25" x14ac:dyDescent="0.25">
      <c r="S572" s="1"/>
      <c r="T572" s="1"/>
      <c r="U572" s="1"/>
      <c r="V572" s="1"/>
      <c r="W572" s="1"/>
      <c r="X572" s="1"/>
      <c r="Y572" s="1"/>
    </row>
    <row r="573" spans="18:25" x14ac:dyDescent="0.25">
      <c r="S573" s="2"/>
      <c r="T573" s="2"/>
      <c r="U573" s="2"/>
      <c r="V573" s="2"/>
      <c r="W573" s="2"/>
      <c r="X573" s="2"/>
      <c r="Y573" s="2"/>
    </row>
    <row r="574" spans="18:25" x14ac:dyDescent="0.25">
      <c r="S574" s="2"/>
      <c r="T574" s="2"/>
      <c r="U574" s="2"/>
      <c r="V574" s="2"/>
      <c r="W574" s="2"/>
      <c r="X574" s="2"/>
      <c r="Y574" s="2"/>
    </row>
    <row r="575" spans="18:25" x14ac:dyDescent="0.25">
      <c r="S575" s="1"/>
      <c r="T575" s="1"/>
      <c r="U575" s="1"/>
      <c r="V575" s="1"/>
      <c r="W575" s="1"/>
      <c r="X575" s="1"/>
      <c r="Y575" s="1"/>
    </row>
    <row r="576" spans="18:25" x14ac:dyDescent="0.25">
      <c r="S576" s="1"/>
      <c r="T576" s="1"/>
      <c r="U576" s="1"/>
      <c r="V576" s="1"/>
      <c r="W576" s="1"/>
      <c r="X576" s="1"/>
      <c r="Y576" s="1"/>
    </row>
    <row r="577" spans="18:31" x14ac:dyDescent="0.25">
      <c r="S577" s="1"/>
      <c r="T577" s="1"/>
      <c r="U577" s="1"/>
      <c r="V577" s="1"/>
      <c r="W577" s="1"/>
      <c r="X577" s="1"/>
      <c r="Y577" s="1"/>
    </row>
    <row r="578" spans="18:31" x14ac:dyDescent="0.25">
      <c r="S578" s="1"/>
      <c r="T578" s="1"/>
      <c r="U578" s="1"/>
      <c r="V578" s="1"/>
      <c r="W578" s="1"/>
      <c r="X578" s="1"/>
      <c r="Y578" s="1"/>
    </row>
    <row r="579" spans="18:31" x14ac:dyDescent="0.25">
      <c r="S579" s="2"/>
      <c r="T579" s="2"/>
      <c r="U579" s="2"/>
      <c r="V579" s="2"/>
      <c r="W579" s="2"/>
      <c r="X579" s="2"/>
      <c r="Y579" s="2"/>
    </row>
    <row r="580" spans="18:31" x14ac:dyDescent="0.25">
      <c r="S580" s="2"/>
      <c r="T580" s="2"/>
      <c r="U580" s="2"/>
      <c r="V580" s="2"/>
      <c r="W580" s="2"/>
      <c r="X580" s="2"/>
      <c r="Y580" s="2"/>
    </row>
    <row r="581" spans="18:31" x14ac:dyDescent="0.25">
      <c r="S581" s="1"/>
      <c r="T581" s="1"/>
      <c r="U581" s="1"/>
      <c r="V581" s="1"/>
      <c r="W581" s="1"/>
      <c r="X581" s="1"/>
      <c r="Y581" s="1"/>
    </row>
    <row r="582" spans="18:31" x14ac:dyDescent="0.25">
      <c r="S582" s="1"/>
      <c r="T582" s="1"/>
      <c r="U582" s="1"/>
      <c r="V582" s="1"/>
      <c r="W582" s="1"/>
      <c r="X582" s="1"/>
      <c r="Y582" s="1"/>
    </row>
    <row r="583" spans="18:31" ht="15.75" thickBot="1" x14ac:dyDescent="0.3">
      <c r="R583" s="14" t="s">
        <v>212</v>
      </c>
    </row>
    <row r="584" spans="18:31" x14ac:dyDescent="0.25">
      <c r="R584" s="560" t="s">
        <v>4</v>
      </c>
      <c r="S584" s="176">
        <v>31.428571428571427</v>
      </c>
      <c r="T584" s="5"/>
      <c r="U584" s="5">
        <v>40</v>
      </c>
      <c r="V584" s="20"/>
      <c r="W584" s="5"/>
      <c r="X584" s="6">
        <v>60</v>
      </c>
      <c r="Y584" s="250">
        <v>70</v>
      </c>
    </row>
    <row r="585" spans="18:31" x14ac:dyDescent="0.25">
      <c r="R585" s="561"/>
      <c r="S585" s="190">
        <v>83.29</v>
      </c>
      <c r="T585" s="55"/>
      <c r="U585" s="55">
        <v>80</v>
      </c>
      <c r="V585" s="55">
        <v>75</v>
      </c>
      <c r="W585" s="55"/>
      <c r="X585" s="61">
        <v>70</v>
      </c>
      <c r="Y585" s="251"/>
    </row>
    <row r="586" spans="18:31" ht="15.75" thickBot="1" x14ac:dyDescent="0.3">
      <c r="R586" s="7" t="s">
        <v>5</v>
      </c>
      <c r="S586" s="8">
        <v>0</v>
      </c>
      <c r="T586" s="8">
        <v>0.28999999999999998</v>
      </c>
      <c r="U586" s="9">
        <v>0.3</v>
      </c>
      <c r="V586" s="9">
        <v>0.69</v>
      </c>
      <c r="W586" s="10">
        <v>0.7</v>
      </c>
      <c r="X586" s="11">
        <v>1</v>
      </c>
      <c r="Y586" s="252">
        <v>1</v>
      </c>
    </row>
    <row r="588" spans="18:31" x14ac:dyDescent="0.25">
      <c r="S588" s="175" t="s">
        <v>374</v>
      </c>
      <c r="T588" s="175"/>
    </row>
    <row r="589" spans="18:31" x14ac:dyDescent="0.25">
      <c r="S589" s="13" t="s">
        <v>272</v>
      </c>
      <c r="T589" s="13" t="s">
        <v>273</v>
      </c>
    </row>
    <row r="590" spans="18:31" x14ac:dyDescent="0.25">
      <c r="R590" s="189" t="s">
        <v>259</v>
      </c>
      <c r="T590" s="13">
        <v>-1.596E-3</v>
      </c>
    </row>
    <row r="591" spans="18:31" x14ac:dyDescent="0.25">
      <c r="R591" s="189" t="s">
        <v>260</v>
      </c>
      <c r="S591" s="13">
        <v>3.5000000000000003E-2</v>
      </c>
      <c r="T591" s="13">
        <v>0.16947899999999999</v>
      </c>
    </row>
    <row r="592" spans="18:31" x14ac:dyDescent="0.25">
      <c r="R592" s="189" t="s">
        <v>267</v>
      </c>
      <c r="S592" s="13">
        <v>-1.1000000000000001</v>
      </c>
      <c r="T592" s="146">
        <v>-3.0406719999999998</v>
      </c>
      <c r="AD592" s="21"/>
      <c r="AE592" s="21"/>
    </row>
    <row r="593" spans="18:31" x14ac:dyDescent="0.25">
      <c r="R593" s="13"/>
      <c r="S593" s="13"/>
      <c r="T593" s="13"/>
      <c r="V593" s="13"/>
      <c r="W593" s="13"/>
      <c r="X593" s="13"/>
      <c r="Y593" s="13"/>
      <c r="AD593" s="55"/>
      <c r="AE593" s="55"/>
    </row>
    <row r="594" spans="18:31" x14ac:dyDescent="0.25">
      <c r="V594" s="13"/>
      <c r="W594" s="13"/>
      <c r="X594" s="13"/>
      <c r="Y594" s="12"/>
      <c r="AD594" s="21"/>
      <c r="AE594" s="21"/>
    </row>
    <row r="595" spans="18:31" x14ac:dyDescent="0.25">
      <c r="V595" s="13"/>
      <c r="W595" s="13"/>
      <c r="X595" s="13"/>
      <c r="Y595" s="12"/>
      <c r="AD595" s="21"/>
      <c r="AE595" s="21"/>
    </row>
    <row r="596" spans="18:31" x14ac:dyDescent="0.25">
      <c r="V596" s="13"/>
      <c r="W596" s="13"/>
      <c r="X596" s="13"/>
      <c r="Y596" s="13"/>
    </row>
    <row r="597" spans="18:31" x14ac:dyDescent="0.25">
      <c r="V597" s="13"/>
      <c r="W597" s="13"/>
      <c r="X597" s="13"/>
      <c r="Y597" s="13"/>
    </row>
    <row r="598" spans="18:31" x14ac:dyDescent="0.25">
      <c r="V598" s="13"/>
      <c r="W598" s="13"/>
      <c r="X598" s="13"/>
      <c r="Y598" s="13"/>
    </row>
    <row r="599" spans="18:31" x14ac:dyDescent="0.25">
      <c r="V599" s="13"/>
      <c r="W599" s="13"/>
      <c r="X599" s="13"/>
      <c r="Y599" s="13"/>
    </row>
    <row r="618" spans="18:25" ht="15.75" thickBot="1" x14ac:dyDescent="0.3">
      <c r="R618" s="14" t="s">
        <v>213</v>
      </c>
    </row>
    <row r="619" spans="18:25" x14ac:dyDescent="0.25">
      <c r="R619" s="560" t="s">
        <v>4</v>
      </c>
      <c r="S619" s="176">
        <v>33.10161662817552</v>
      </c>
      <c r="T619" s="5"/>
      <c r="U619" s="5">
        <v>40</v>
      </c>
      <c r="V619" s="5">
        <v>49</v>
      </c>
      <c r="W619" s="5"/>
      <c r="X619" s="6">
        <v>50</v>
      </c>
      <c r="Y619" s="246">
        <v>60</v>
      </c>
    </row>
    <row r="620" spans="18:25" x14ac:dyDescent="0.25">
      <c r="R620" s="561"/>
      <c r="S620" s="190">
        <v>76.981524249422634</v>
      </c>
      <c r="T620" s="55"/>
      <c r="U620" s="55">
        <v>70</v>
      </c>
      <c r="V620" s="55">
        <v>61</v>
      </c>
      <c r="W620" s="55"/>
      <c r="X620" s="61">
        <v>60</v>
      </c>
      <c r="Y620" s="251"/>
    </row>
    <row r="621" spans="18:25" ht="15.75" thickBot="1" x14ac:dyDescent="0.3">
      <c r="R621" s="7" t="s">
        <v>5</v>
      </c>
      <c r="S621" s="8">
        <v>0</v>
      </c>
      <c r="T621" s="8">
        <v>0.28999999999999998</v>
      </c>
      <c r="U621" s="9">
        <v>0.3</v>
      </c>
      <c r="V621" s="9">
        <v>0.69</v>
      </c>
      <c r="W621" s="10">
        <v>0.7</v>
      </c>
      <c r="X621" s="11">
        <v>1</v>
      </c>
      <c r="Y621" s="252">
        <v>1</v>
      </c>
    </row>
    <row r="623" spans="18:25" x14ac:dyDescent="0.25">
      <c r="S623" s="175" t="s">
        <v>366</v>
      </c>
      <c r="T623" s="175"/>
    </row>
    <row r="624" spans="18:25" x14ac:dyDescent="0.25">
      <c r="S624" s="13" t="s">
        <v>275</v>
      </c>
      <c r="T624" s="13" t="s">
        <v>274</v>
      </c>
    </row>
    <row r="625" spans="18:30" x14ac:dyDescent="0.25">
      <c r="R625" s="189" t="s">
        <v>259</v>
      </c>
      <c r="S625" s="13">
        <v>4.3400000000000001E-2</v>
      </c>
      <c r="T625" s="13">
        <v>-4.3200000000000002E-2</v>
      </c>
    </row>
    <row r="626" spans="18:30" x14ac:dyDescent="0.25">
      <c r="R626" s="189" t="s">
        <v>260</v>
      </c>
      <c r="S626" s="13">
        <v>-1.4362999999999999</v>
      </c>
      <c r="T626" s="13">
        <v>3.3237000000000001</v>
      </c>
    </row>
    <row r="627" spans="18:30" x14ac:dyDescent="0.25">
      <c r="R627" s="13"/>
      <c r="S627" s="13"/>
      <c r="T627" s="146"/>
    </row>
    <row r="628" spans="18:30" x14ac:dyDescent="0.25">
      <c r="R628" s="13"/>
      <c r="S628" s="13"/>
      <c r="T628" s="13"/>
      <c r="V628" s="13"/>
      <c r="W628" s="13"/>
      <c r="X628" s="13"/>
      <c r="Y628" s="13"/>
    </row>
    <row r="629" spans="18:30" x14ac:dyDescent="0.25">
      <c r="V629" s="13"/>
      <c r="W629" s="13"/>
      <c r="X629" s="13"/>
      <c r="Y629" s="12"/>
    </row>
    <row r="630" spans="18:30" x14ac:dyDescent="0.25">
      <c r="V630" s="13"/>
      <c r="W630" s="13"/>
      <c r="X630" s="13"/>
      <c r="Y630" s="12"/>
    </row>
    <row r="631" spans="18:30" x14ac:dyDescent="0.25">
      <c r="V631" s="13"/>
      <c r="W631" s="13"/>
      <c r="X631" s="13"/>
      <c r="Y631" s="13"/>
    </row>
    <row r="632" spans="18:30" x14ac:dyDescent="0.25">
      <c r="V632" s="13"/>
      <c r="W632" s="13"/>
      <c r="X632" s="13"/>
      <c r="Y632" s="13"/>
      <c r="AC632" s="21"/>
      <c r="AD632" s="21"/>
    </row>
    <row r="633" spans="18:30" x14ac:dyDescent="0.25">
      <c r="V633" s="13"/>
      <c r="W633" s="13"/>
      <c r="X633" s="13"/>
      <c r="Y633" s="13"/>
      <c r="AC633" s="21"/>
      <c r="AD633" s="21"/>
    </row>
    <row r="634" spans="18:30" x14ac:dyDescent="0.25">
      <c r="V634" s="13"/>
      <c r="W634" s="13"/>
      <c r="X634" s="13"/>
      <c r="Y634" s="13"/>
      <c r="AC634" s="21"/>
      <c r="AD634" s="21"/>
    </row>
    <row r="635" spans="18:30" x14ac:dyDescent="0.25">
      <c r="AC635" s="55"/>
      <c r="AD635" s="21"/>
    </row>
    <row r="636" spans="18:30" x14ac:dyDescent="0.25">
      <c r="AC636" s="21"/>
      <c r="AD636" s="21"/>
    </row>
    <row r="637" spans="18:30" x14ac:dyDescent="0.25">
      <c r="AC637" s="21"/>
      <c r="AD637" s="21"/>
    </row>
    <row r="638" spans="18:30" x14ac:dyDescent="0.25">
      <c r="AC638" s="21"/>
      <c r="AD638" s="21"/>
    </row>
    <row r="639" spans="18:30" x14ac:dyDescent="0.25">
      <c r="AC639" s="21"/>
      <c r="AD639" s="21"/>
    </row>
    <row r="652" spans="18:24" ht="15.75" thickBot="1" x14ac:dyDescent="0.3">
      <c r="R652" s="14" t="s">
        <v>172</v>
      </c>
    </row>
    <row r="653" spans="18:24" x14ac:dyDescent="0.25">
      <c r="R653" s="4" t="s">
        <v>15</v>
      </c>
      <c r="S653" s="388">
        <v>66.714500000000001</v>
      </c>
      <c r="T653" s="5"/>
      <c r="U653" s="5">
        <v>70</v>
      </c>
      <c r="V653" s="20">
        <v>75</v>
      </c>
      <c r="W653" s="5"/>
      <c r="X653" s="6">
        <v>80</v>
      </c>
    </row>
    <row r="654" spans="18:24" ht="15.75" thickBot="1" x14ac:dyDescent="0.3">
      <c r="R654" s="7" t="s">
        <v>16</v>
      </c>
      <c r="S654" s="8">
        <v>0</v>
      </c>
      <c r="T654" s="8">
        <v>0.28999999999999998</v>
      </c>
      <c r="U654" s="9">
        <v>0.3</v>
      </c>
      <c r="V654" s="9">
        <v>0.69</v>
      </c>
      <c r="W654" s="10">
        <v>0.7</v>
      </c>
      <c r="X654" s="11">
        <v>1</v>
      </c>
    </row>
    <row r="656" spans="18:24" x14ac:dyDescent="0.25">
      <c r="S656" s="175" t="s">
        <v>374</v>
      </c>
    </row>
    <row r="657" spans="18:21" x14ac:dyDescent="0.25">
      <c r="R657" s="183" t="s">
        <v>259</v>
      </c>
      <c r="S657" s="13">
        <v>-1.6000000000000001E-3</v>
      </c>
      <c r="T657" s="13"/>
    </row>
    <row r="658" spans="18:21" x14ac:dyDescent="0.25">
      <c r="R658" s="183" t="s">
        <v>260</v>
      </c>
      <c r="S658" s="13">
        <v>0.31040000000000001</v>
      </c>
      <c r="T658" s="13"/>
    </row>
    <row r="659" spans="18:21" x14ac:dyDescent="0.25">
      <c r="R659" s="239" t="s">
        <v>267</v>
      </c>
      <c r="S659" s="13">
        <v>-13.574</v>
      </c>
      <c r="T659" s="13"/>
    </row>
    <row r="660" spans="18:21" x14ac:dyDescent="0.25">
      <c r="R660" s="13"/>
      <c r="S660" s="13"/>
      <c r="T660" s="146"/>
      <c r="U660" s="16"/>
    </row>
    <row r="661" spans="18:21" x14ac:dyDescent="0.25">
      <c r="R661" s="13"/>
      <c r="S661" s="13"/>
      <c r="T661" s="146"/>
    </row>
    <row r="684" spans="18:24" ht="15.75" thickBot="1" x14ac:dyDescent="0.3">
      <c r="R684" s="14" t="s">
        <v>363</v>
      </c>
    </row>
    <row r="685" spans="18:24" x14ac:dyDescent="0.25">
      <c r="R685" s="4" t="s">
        <v>15</v>
      </c>
      <c r="S685" s="5">
        <v>1.6</v>
      </c>
      <c r="T685" s="5"/>
      <c r="U685" s="5">
        <v>1.4</v>
      </c>
      <c r="V685" s="5">
        <v>1.2</v>
      </c>
      <c r="W685" s="5"/>
      <c r="X685" s="6">
        <v>1</v>
      </c>
    </row>
    <row r="686" spans="18:24" ht="15.75" thickBot="1" x14ac:dyDescent="0.3">
      <c r="R686" s="7" t="s">
        <v>16</v>
      </c>
      <c r="S686" s="8">
        <v>0</v>
      </c>
      <c r="T686" s="8">
        <v>0.28999999999999998</v>
      </c>
      <c r="U686" s="9">
        <v>0.3</v>
      </c>
      <c r="V686" s="9">
        <v>0.69</v>
      </c>
      <c r="W686" s="10">
        <v>0.7</v>
      </c>
      <c r="X686" s="11">
        <v>1</v>
      </c>
    </row>
    <row r="688" spans="18:24" x14ac:dyDescent="0.25">
      <c r="R688" s="13"/>
      <c r="S688" s="179" t="s">
        <v>444</v>
      </c>
      <c r="T688" s="249"/>
    </row>
    <row r="689" spans="17:26" x14ac:dyDescent="0.25">
      <c r="R689" s="231" t="s">
        <v>259</v>
      </c>
      <c r="S689" s="13">
        <v>3.5417000000000001</v>
      </c>
      <c r="T689" s="13"/>
    </row>
    <row r="690" spans="17:26" x14ac:dyDescent="0.25">
      <c r="R690" s="308" t="s">
        <v>260</v>
      </c>
      <c r="S690" s="13">
        <v>-13.75</v>
      </c>
      <c r="T690" s="13"/>
      <c r="Z690" s="1"/>
    </row>
    <row r="691" spans="17:26" x14ac:dyDescent="0.25">
      <c r="R691" s="308" t="s">
        <v>267</v>
      </c>
      <c r="S691" s="13">
        <v>15.808</v>
      </c>
      <c r="T691" s="13"/>
      <c r="Z691" s="1"/>
    </row>
    <row r="692" spans="17:26" x14ac:dyDescent="0.25">
      <c r="R692" s="231" t="s">
        <v>268</v>
      </c>
      <c r="S692" s="13">
        <v>-4.5999999999999996</v>
      </c>
      <c r="T692" s="146"/>
    </row>
    <row r="693" spans="17:26" x14ac:dyDescent="0.25">
      <c r="S693" s="1"/>
      <c r="T693" s="1"/>
      <c r="U693" s="1"/>
      <c r="V693" s="1"/>
      <c r="W693" s="1"/>
      <c r="X693" s="1"/>
      <c r="Y693" s="1"/>
    </row>
    <row r="694" spans="17:26" x14ac:dyDescent="0.25">
      <c r="S694" s="1"/>
      <c r="T694" s="1"/>
      <c r="U694" s="1"/>
      <c r="V694" s="1"/>
      <c r="W694" s="1"/>
      <c r="X694" s="1"/>
      <c r="Y694" s="1"/>
    </row>
    <row r="695" spans="17:26" x14ac:dyDescent="0.25">
      <c r="S695" s="1"/>
      <c r="T695" s="1"/>
      <c r="U695" s="1"/>
      <c r="V695" s="1"/>
      <c r="W695" s="1"/>
      <c r="X695" s="1"/>
      <c r="Y695" s="1"/>
    </row>
    <row r="696" spans="17:26" x14ac:dyDescent="0.25">
      <c r="S696" s="1"/>
      <c r="T696" s="1"/>
      <c r="U696" s="1"/>
      <c r="V696" s="1"/>
      <c r="W696" s="1"/>
      <c r="X696" s="1"/>
      <c r="Y696" s="1"/>
    </row>
    <row r="697" spans="17:26" x14ac:dyDescent="0.25">
      <c r="S697" s="1"/>
      <c r="T697" s="1"/>
      <c r="U697" s="1"/>
      <c r="V697" s="1"/>
      <c r="W697" s="1"/>
      <c r="X697" s="1"/>
      <c r="Y697" s="1"/>
    </row>
    <row r="698" spans="17:26" x14ac:dyDescent="0.25">
      <c r="S698" s="1"/>
      <c r="T698" s="1"/>
      <c r="U698" s="1"/>
      <c r="V698" s="1"/>
      <c r="W698" s="1"/>
      <c r="X698" s="1"/>
      <c r="Y698" s="1"/>
    </row>
    <row r="699" spans="17:26" x14ac:dyDescent="0.25">
      <c r="S699" s="1"/>
      <c r="T699" s="1"/>
      <c r="U699" s="1"/>
      <c r="V699" s="1"/>
      <c r="W699" s="1"/>
      <c r="X699" s="1"/>
      <c r="Y699" s="1"/>
    </row>
    <row r="700" spans="17:26" x14ac:dyDescent="0.25">
      <c r="S700" s="1"/>
      <c r="T700" s="1"/>
      <c r="U700" s="1"/>
      <c r="V700" s="1"/>
      <c r="W700" s="1"/>
      <c r="X700" s="1"/>
      <c r="Y700" s="1"/>
    </row>
    <row r="701" spans="17:26" x14ac:dyDescent="0.25">
      <c r="Q701" s="1"/>
      <c r="S701" s="1"/>
      <c r="T701" s="1"/>
      <c r="U701" s="1"/>
      <c r="V701" s="1"/>
      <c r="W701" s="1"/>
      <c r="X701" s="1"/>
      <c r="Y701" s="1"/>
    </row>
    <row r="702" spans="17:26" x14ac:dyDescent="0.25">
      <c r="Q702" s="1"/>
      <c r="S702" s="1"/>
      <c r="T702" s="1"/>
      <c r="U702" s="1"/>
      <c r="V702" s="1"/>
      <c r="W702" s="1"/>
      <c r="X702" s="1"/>
      <c r="Y702" s="1"/>
    </row>
    <row r="703" spans="17:26" x14ac:dyDescent="0.25">
      <c r="Q703" s="1"/>
      <c r="S703" s="1"/>
      <c r="T703" s="1"/>
      <c r="U703" s="1"/>
      <c r="V703" s="1"/>
      <c r="W703" s="1"/>
      <c r="X703" s="1"/>
      <c r="Y703" s="1"/>
    </row>
    <row r="704" spans="17:26" x14ac:dyDescent="0.25">
      <c r="Q704" s="1"/>
      <c r="S704" s="1"/>
      <c r="T704" s="1"/>
      <c r="U704" s="1"/>
      <c r="V704" s="1"/>
      <c r="W704" s="1"/>
      <c r="X704" s="1"/>
      <c r="Y704" s="1"/>
    </row>
    <row r="705" spans="17:25" x14ac:dyDescent="0.25">
      <c r="Q705" s="1"/>
      <c r="S705" s="1"/>
      <c r="T705" s="1"/>
      <c r="U705" s="1"/>
      <c r="V705" s="1"/>
      <c r="W705" s="1"/>
      <c r="X705" s="1"/>
      <c r="Y705" s="1"/>
    </row>
    <row r="706" spans="17:25" x14ac:dyDescent="0.25">
      <c r="Q706" s="1"/>
      <c r="S706" s="1"/>
      <c r="T706" s="1"/>
      <c r="U706" s="1"/>
      <c r="V706" s="1"/>
      <c r="W706" s="1"/>
      <c r="X706" s="1"/>
      <c r="Y706" s="1"/>
    </row>
    <row r="707" spans="17:25" x14ac:dyDescent="0.25">
      <c r="Q707" s="1"/>
    </row>
    <row r="708" spans="17:25" x14ac:dyDescent="0.25">
      <c r="Q708" s="1"/>
    </row>
    <row r="709" spans="17:25" x14ac:dyDescent="0.25">
      <c r="Q709" s="1"/>
    </row>
    <row r="710" spans="17:25" x14ac:dyDescent="0.25">
      <c r="Q710" s="1"/>
    </row>
    <row r="711" spans="17:25" x14ac:dyDescent="0.25">
      <c r="Q711" s="2"/>
    </row>
    <row r="712" spans="17:25" x14ac:dyDescent="0.25">
      <c r="Q712" s="2"/>
    </row>
    <row r="713" spans="17:25" x14ac:dyDescent="0.25">
      <c r="Q713" s="1"/>
    </row>
    <row r="714" spans="17:25" x14ac:dyDescent="0.25">
      <c r="Q714" s="1"/>
    </row>
    <row r="715" spans="17:25" x14ac:dyDescent="0.25">
      <c r="Q715" s="1"/>
    </row>
    <row r="717" spans="17:25" ht="15.75" thickBot="1" x14ac:dyDescent="0.3">
      <c r="Q717" s="1"/>
      <c r="R717" s="14" t="s">
        <v>439</v>
      </c>
    </row>
    <row r="718" spans="17:25" x14ac:dyDescent="0.25">
      <c r="Q718" s="1"/>
      <c r="R718" s="560" t="s">
        <v>15</v>
      </c>
      <c r="S718" s="5"/>
      <c r="T718" s="5"/>
      <c r="U718" s="5"/>
      <c r="V718" s="5"/>
      <c r="W718" s="5"/>
      <c r="X718" s="6">
        <v>1.3</v>
      </c>
    </row>
    <row r="719" spans="17:25" x14ac:dyDescent="0.25">
      <c r="Q719" s="13"/>
      <c r="R719" s="561"/>
      <c r="S719" s="55"/>
      <c r="T719" s="55"/>
      <c r="U719" s="55">
        <v>1.8</v>
      </c>
      <c r="V719" s="55">
        <v>1.61</v>
      </c>
      <c r="W719" s="55"/>
      <c r="X719" s="61">
        <v>1.6</v>
      </c>
    </row>
    <row r="720" spans="17:25" ht="15.75" thickBot="1" x14ac:dyDescent="0.3">
      <c r="Q720" s="13"/>
      <c r="R720" s="7" t="s">
        <v>16</v>
      </c>
      <c r="S720" s="8">
        <v>0</v>
      </c>
      <c r="T720" s="8">
        <v>0.28999999999999998</v>
      </c>
      <c r="U720" s="9">
        <v>0.3</v>
      </c>
      <c r="V720" s="9">
        <v>0.69</v>
      </c>
      <c r="W720" s="10">
        <v>0.7</v>
      </c>
      <c r="X720" s="11">
        <v>1</v>
      </c>
    </row>
    <row r="721" spans="17:25" x14ac:dyDescent="0.25">
      <c r="Q721" s="13"/>
    </row>
    <row r="722" spans="17:25" x14ac:dyDescent="0.25">
      <c r="R722" s="13"/>
      <c r="S722" s="175" t="s">
        <v>366</v>
      </c>
      <c r="T722" s="249"/>
      <c r="U722" s="249"/>
    </row>
    <row r="723" spans="17:25" x14ac:dyDescent="0.25">
      <c r="R723" s="189" t="s">
        <v>259</v>
      </c>
      <c r="S723" s="13">
        <v>-2.0499999999999998</v>
      </c>
      <c r="T723" s="13"/>
    </row>
    <row r="724" spans="17:25" x14ac:dyDescent="0.25">
      <c r="R724" s="189" t="s">
        <v>260</v>
      </c>
      <c r="S724" s="13">
        <v>3.99</v>
      </c>
      <c r="T724" s="13"/>
    </row>
    <row r="725" spans="17:25" x14ac:dyDescent="0.25">
      <c r="R725" s="198"/>
      <c r="S725" s="13"/>
      <c r="T725" s="146"/>
    </row>
    <row r="726" spans="17:25" x14ac:dyDescent="0.25">
      <c r="S726" s="1"/>
      <c r="T726" s="1"/>
      <c r="U726" s="1"/>
      <c r="V726" s="1"/>
      <c r="W726" s="1"/>
      <c r="X726" s="1"/>
      <c r="Y726" s="1"/>
    </row>
    <row r="727" spans="17:25" x14ac:dyDescent="0.25">
      <c r="S727" s="1"/>
      <c r="T727" s="1"/>
      <c r="U727" s="1"/>
      <c r="V727" s="1"/>
      <c r="W727" s="1"/>
      <c r="X727" s="1"/>
      <c r="Y727" s="1"/>
    </row>
    <row r="728" spans="17:25" x14ac:dyDescent="0.25">
      <c r="S728" s="1"/>
      <c r="T728" s="1"/>
      <c r="U728" s="1"/>
      <c r="V728" s="1"/>
      <c r="W728" s="1"/>
      <c r="X728" s="1"/>
      <c r="Y728" s="1"/>
    </row>
    <row r="729" spans="17:25" x14ac:dyDescent="0.25">
      <c r="S729" s="1"/>
      <c r="T729" s="1"/>
      <c r="U729" s="1"/>
      <c r="V729" s="1"/>
      <c r="W729" s="1"/>
      <c r="X729" s="1"/>
      <c r="Y729" s="1"/>
    </row>
    <row r="730" spans="17:25" x14ac:dyDescent="0.25">
      <c r="S730" s="1"/>
      <c r="T730" s="1"/>
      <c r="U730" s="1"/>
      <c r="V730" s="1"/>
      <c r="W730" s="1"/>
      <c r="X730" s="1"/>
      <c r="Y730" s="1"/>
    </row>
    <row r="731" spans="17:25" x14ac:dyDescent="0.25">
      <c r="S731" s="1"/>
      <c r="T731" s="1"/>
      <c r="U731" s="1"/>
      <c r="V731" s="1"/>
      <c r="W731" s="1"/>
      <c r="X731" s="1"/>
      <c r="Y731" s="1"/>
    </row>
    <row r="732" spans="17:25" x14ac:dyDescent="0.25">
      <c r="S732" s="1"/>
      <c r="T732" s="1"/>
      <c r="U732" s="1"/>
      <c r="V732" s="1"/>
      <c r="W732" s="1"/>
      <c r="X732" s="1"/>
      <c r="Y732" s="1"/>
    </row>
    <row r="733" spans="17:25" x14ac:dyDescent="0.25">
      <c r="S733" s="1"/>
      <c r="T733" s="1"/>
      <c r="U733" s="1"/>
      <c r="V733" s="1"/>
      <c r="W733" s="1"/>
      <c r="X733" s="1"/>
      <c r="Y733" s="1"/>
    </row>
    <row r="734" spans="17:25" x14ac:dyDescent="0.25">
      <c r="S734" s="1"/>
      <c r="T734" s="1"/>
      <c r="U734" s="1"/>
      <c r="V734" s="1"/>
      <c r="W734" s="1"/>
      <c r="X734" s="1"/>
      <c r="Y734" s="1"/>
    </row>
    <row r="735" spans="17:25" x14ac:dyDescent="0.25">
      <c r="S735" s="1"/>
      <c r="T735" s="1"/>
      <c r="U735" s="1"/>
      <c r="V735" s="1"/>
      <c r="W735" s="1"/>
      <c r="X735" s="1"/>
      <c r="Y735" s="1"/>
    </row>
    <row r="736" spans="17:25" x14ac:dyDescent="0.25">
      <c r="S736" s="1"/>
      <c r="T736" s="1"/>
      <c r="U736" s="1"/>
      <c r="V736" s="1"/>
      <c r="W736" s="1"/>
      <c r="X736" s="1"/>
      <c r="Y736" s="1"/>
    </row>
    <row r="737" spans="18:25" x14ac:dyDescent="0.25">
      <c r="S737" s="1"/>
      <c r="T737" s="1"/>
      <c r="U737" s="1"/>
      <c r="V737" s="1"/>
      <c r="W737" s="1"/>
      <c r="X737" s="1"/>
      <c r="Y737" s="1"/>
    </row>
    <row r="738" spans="18:25" x14ac:dyDescent="0.25">
      <c r="S738" s="1"/>
      <c r="T738" s="1"/>
      <c r="U738" s="1"/>
      <c r="V738" s="1"/>
      <c r="W738" s="1"/>
      <c r="X738" s="1"/>
      <c r="Y738" s="1"/>
    </row>
    <row r="739" spans="18:25" x14ac:dyDescent="0.25">
      <c r="S739" s="1"/>
      <c r="T739" s="1"/>
      <c r="U739" s="1"/>
      <c r="V739" s="1"/>
      <c r="W739" s="1"/>
      <c r="X739" s="1"/>
      <c r="Y739" s="1"/>
    </row>
    <row r="750" spans="18:25" ht="15.75" thickBot="1" x14ac:dyDescent="0.3">
      <c r="R750" s="14" t="s">
        <v>440</v>
      </c>
    </row>
    <row r="751" spans="18:25" x14ac:dyDescent="0.25">
      <c r="R751" s="560" t="s">
        <v>15</v>
      </c>
      <c r="S751" s="5"/>
      <c r="T751" s="5"/>
      <c r="U751" s="5"/>
      <c r="V751" s="5"/>
      <c r="W751" s="5"/>
      <c r="X751" s="6">
        <v>1.2</v>
      </c>
    </row>
    <row r="752" spans="18:25" x14ac:dyDescent="0.25">
      <c r="R752" s="561"/>
      <c r="S752" s="55"/>
      <c r="T752" s="55"/>
      <c r="U752" s="55">
        <v>1.5</v>
      </c>
      <c r="V752" s="2">
        <v>1.41</v>
      </c>
      <c r="W752" s="2"/>
      <c r="X752" s="61">
        <v>1.4</v>
      </c>
    </row>
    <row r="753" spans="18:24" ht="15.75" thickBot="1" x14ac:dyDescent="0.3">
      <c r="R753" s="7" t="s">
        <v>16</v>
      </c>
      <c r="S753" s="8">
        <v>0</v>
      </c>
      <c r="T753" s="8">
        <v>0.28999999999999998</v>
      </c>
      <c r="U753" s="9">
        <v>0.3</v>
      </c>
      <c r="V753" s="9">
        <v>0.69</v>
      </c>
      <c r="W753" s="10">
        <v>0.7</v>
      </c>
      <c r="X753" s="11">
        <v>1</v>
      </c>
    </row>
    <row r="755" spans="18:24" x14ac:dyDescent="0.25">
      <c r="R755" s="13"/>
      <c r="S755" s="175" t="s">
        <v>366</v>
      </c>
      <c r="T755" s="249"/>
    </row>
    <row r="756" spans="18:24" x14ac:dyDescent="0.25">
      <c r="R756" s="189" t="s">
        <v>259</v>
      </c>
      <c r="S756" s="13">
        <v>-4.3333000000000004</v>
      </c>
      <c r="T756" s="13"/>
    </row>
    <row r="757" spans="18:24" x14ac:dyDescent="0.25">
      <c r="R757" s="189" t="s">
        <v>260</v>
      </c>
      <c r="S757" s="13">
        <v>6.8</v>
      </c>
      <c r="T757" s="13"/>
    </row>
    <row r="758" spans="18:24" x14ac:dyDescent="0.25">
      <c r="R758" s="183"/>
      <c r="S758" s="13"/>
      <c r="T758" s="13"/>
    </row>
    <row r="759" spans="18:24" x14ac:dyDescent="0.25">
      <c r="R759" s="13"/>
      <c r="S759" s="13"/>
      <c r="T759" s="146"/>
    </row>
    <row r="760" spans="18:24" x14ac:dyDescent="0.25">
      <c r="R760" s="13"/>
      <c r="S760" s="13"/>
      <c r="T760" s="13"/>
    </row>
    <row r="761" spans="18:24" x14ac:dyDescent="0.25">
      <c r="S761" s="1"/>
    </row>
    <row r="780" spans="18:24" ht="15.75" thickBot="1" x14ac:dyDescent="0.3">
      <c r="R780" s="14" t="s">
        <v>442</v>
      </c>
    </row>
    <row r="781" spans="18:24" x14ac:dyDescent="0.25">
      <c r="R781" s="4" t="s">
        <v>15</v>
      </c>
      <c r="S781" s="5"/>
      <c r="T781" s="5"/>
      <c r="U781" s="5"/>
      <c r="V781" s="5"/>
      <c r="W781" s="5">
        <v>1.1499999999999999</v>
      </c>
      <c r="X781" s="6">
        <v>1.4</v>
      </c>
    </row>
    <row r="782" spans="18:24" ht="15.75" thickBot="1" x14ac:dyDescent="0.3">
      <c r="R782" s="7" t="s">
        <v>16</v>
      </c>
      <c r="S782" s="8">
        <v>0</v>
      </c>
      <c r="T782" s="8">
        <v>0.28999999999999998</v>
      </c>
      <c r="U782" s="9">
        <v>0.3</v>
      </c>
      <c r="V782" s="9">
        <v>0.69</v>
      </c>
      <c r="W782" s="10">
        <v>0.7</v>
      </c>
      <c r="X782" s="11">
        <v>1</v>
      </c>
    </row>
    <row r="784" spans="18:24" x14ac:dyDescent="0.25">
      <c r="R784" s="13"/>
      <c r="S784" s="175" t="s">
        <v>366</v>
      </c>
      <c r="T784" s="249"/>
    </row>
    <row r="785" spans="18:26" x14ac:dyDescent="0.25">
      <c r="R785" s="372" t="s">
        <v>259</v>
      </c>
      <c r="S785" s="13">
        <v>1.2</v>
      </c>
      <c r="T785" s="13"/>
    </row>
    <row r="786" spans="18:26" x14ac:dyDescent="0.25">
      <c r="R786" s="372" t="s">
        <v>260</v>
      </c>
      <c r="S786" s="13">
        <v>-0.68</v>
      </c>
      <c r="T786" s="13"/>
    </row>
    <row r="787" spans="18:26" x14ac:dyDescent="0.25">
      <c r="R787" s="13"/>
      <c r="S787" s="13"/>
      <c r="T787" s="146"/>
    </row>
    <row r="788" spans="18:26" x14ac:dyDescent="0.25">
      <c r="S788" s="1"/>
      <c r="T788" s="1"/>
      <c r="U788" s="1"/>
      <c r="V788" s="1"/>
      <c r="W788" s="1"/>
      <c r="X788" s="1"/>
      <c r="Y788" s="1"/>
    </row>
    <row r="789" spans="18:26" x14ac:dyDescent="0.25">
      <c r="S789" s="1"/>
      <c r="T789" s="1"/>
      <c r="U789" s="1"/>
      <c r="V789" s="1"/>
      <c r="W789" s="1"/>
      <c r="X789" s="1"/>
      <c r="Y789" s="1"/>
      <c r="Z789" s="1"/>
    </row>
    <row r="790" spans="18:26" x14ac:dyDescent="0.25">
      <c r="S790" s="1"/>
      <c r="T790" s="1"/>
      <c r="U790" s="1"/>
      <c r="V790" s="1"/>
      <c r="W790" s="1"/>
      <c r="X790" s="1"/>
      <c r="Y790" s="1"/>
      <c r="Z790" s="1"/>
    </row>
    <row r="791" spans="18:26" x14ac:dyDescent="0.25">
      <c r="S791" s="1"/>
      <c r="T791" s="1"/>
      <c r="U791" s="1"/>
      <c r="V791" s="1"/>
      <c r="W791" s="1"/>
      <c r="X791" s="1"/>
      <c r="Y791" s="1"/>
      <c r="Z791" s="2"/>
    </row>
    <row r="792" spans="18:26" x14ac:dyDescent="0.25">
      <c r="S792" s="1"/>
      <c r="T792" s="1"/>
      <c r="U792" s="1"/>
      <c r="V792" s="1"/>
      <c r="W792" s="1"/>
      <c r="X792" s="1"/>
      <c r="Y792" s="1"/>
      <c r="Z792" s="2"/>
    </row>
    <row r="793" spans="18:26" x14ac:dyDescent="0.25">
      <c r="S793" s="1"/>
      <c r="T793" s="1"/>
      <c r="U793" s="1"/>
      <c r="V793" s="1"/>
      <c r="W793" s="1"/>
      <c r="X793" s="1"/>
      <c r="Y793" s="1"/>
      <c r="Z793" s="1"/>
    </row>
    <row r="794" spans="18:26" x14ac:dyDescent="0.25">
      <c r="S794" s="1"/>
      <c r="T794" s="1"/>
      <c r="U794" s="1"/>
      <c r="V794" s="1"/>
      <c r="W794" s="1"/>
      <c r="X794" s="1"/>
      <c r="Y794" s="1"/>
      <c r="Z794" s="1"/>
    </row>
    <row r="795" spans="18:26" x14ac:dyDescent="0.25">
      <c r="S795" s="1"/>
      <c r="T795" s="1"/>
      <c r="U795" s="1"/>
      <c r="V795" s="1"/>
      <c r="W795" s="1"/>
      <c r="X795" s="1"/>
      <c r="Y795" s="1"/>
      <c r="Z795" s="1"/>
    </row>
    <row r="796" spans="18:26" x14ac:dyDescent="0.25">
      <c r="S796" s="1"/>
      <c r="T796" s="1"/>
      <c r="U796" s="1"/>
      <c r="V796" s="1"/>
      <c r="W796" s="1"/>
      <c r="X796" s="1"/>
      <c r="Y796" s="1"/>
      <c r="Z796" s="1"/>
    </row>
    <row r="797" spans="18:26" x14ac:dyDescent="0.25">
      <c r="S797" s="1"/>
      <c r="T797" s="1"/>
      <c r="U797" s="1"/>
      <c r="V797" s="1"/>
      <c r="W797" s="1"/>
      <c r="X797" s="1"/>
      <c r="Y797" s="1"/>
      <c r="Z797" s="2"/>
    </row>
    <row r="798" spans="18:26" x14ac:dyDescent="0.25">
      <c r="S798" s="1"/>
      <c r="T798" s="1"/>
      <c r="U798" s="1"/>
      <c r="V798" s="1"/>
      <c r="W798" s="1"/>
      <c r="X798" s="1"/>
      <c r="Y798" s="1"/>
      <c r="Z798" s="2"/>
    </row>
    <row r="799" spans="18:26" x14ac:dyDescent="0.25">
      <c r="S799" s="1"/>
      <c r="T799" s="1"/>
      <c r="U799" s="1"/>
      <c r="V799" s="1"/>
      <c r="W799" s="1"/>
      <c r="X799" s="1"/>
      <c r="Y799" s="1"/>
      <c r="Z799" s="1"/>
    </row>
    <row r="800" spans="18:26" x14ac:dyDescent="0.25">
      <c r="S800" s="1"/>
      <c r="T800" s="1"/>
      <c r="U800" s="1"/>
      <c r="V800" s="1"/>
      <c r="W800" s="1"/>
      <c r="X800" s="1"/>
      <c r="Y800" s="1"/>
      <c r="Z800" s="1"/>
    </row>
    <row r="801" spans="18:26" x14ac:dyDescent="0.25">
      <c r="S801" s="1"/>
      <c r="T801" s="1"/>
      <c r="U801" s="1"/>
      <c r="V801" s="1"/>
      <c r="W801" s="1"/>
      <c r="X801" s="1"/>
      <c r="Y801" s="1"/>
      <c r="Z801" s="1"/>
    </row>
    <row r="802" spans="18:26" x14ac:dyDescent="0.25">
      <c r="Z802" s="1"/>
    </row>
    <row r="803" spans="18:26" x14ac:dyDescent="0.25">
      <c r="Z803" s="2"/>
    </row>
    <row r="804" spans="18:26" x14ac:dyDescent="0.25">
      <c r="Z804" s="2"/>
    </row>
    <row r="805" spans="18:26" x14ac:dyDescent="0.25">
      <c r="Z805" s="1"/>
    </row>
    <row r="806" spans="18:26" x14ac:dyDescent="0.25">
      <c r="Z806" s="1"/>
    </row>
    <row r="807" spans="18:26" x14ac:dyDescent="0.25">
      <c r="Z807" s="1"/>
    </row>
    <row r="808" spans="18:26" x14ac:dyDescent="0.25">
      <c r="Z808" s="1"/>
    </row>
    <row r="809" spans="18:26" x14ac:dyDescent="0.25">
      <c r="Z809" s="1"/>
    </row>
    <row r="810" spans="18:26" ht="15.75" thickBot="1" x14ac:dyDescent="0.3">
      <c r="R810" s="14" t="s">
        <v>441</v>
      </c>
      <c r="Z810" s="1"/>
    </row>
    <row r="811" spans="18:26" x14ac:dyDescent="0.25">
      <c r="R811" s="4" t="s">
        <v>15</v>
      </c>
      <c r="S811" s="5"/>
      <c r="T811" s="5"/>
      <c r="U811" s="5">
        <v>1.3</v>
      </c>
      <c r="V811" s="5">
        <v>1.21</v>
      </c>
      <c r="W811" s="5"/>
      <c r="X811" s="6"/>
      <c r="Z811" s="1"/>
    </row>
    <row r="812" spans="18:26" ht="15.75" thickBot="1" x14ac:dyDescent="0.3">
      <c r="R812" s="7" t="s">
        <v>16</v>
      </c>
      <c r="S812" s="8">
        <v>0</v>
      </c>
      <c r="T812" s="8">
        <v>0.28999999999999998</v>
      </c>
      <c r="U812" s="9">
        <v>0.3</v>
      </c>
      <c r="V812" s="9">
        <v>0.69</v>
      </c>
      <c r="W812" s="10">
        <v>0.7</v>
      </c>
      <c r="X812" s="11">
        <v>1</v>
      </c>
      <c r="Z812" s="1"/>
    </row>
    <row r="813" spans="18:26" x14ac:dyDescent="0.25">
      <c r="Z813" s="1"/>
    </row>
    <row r="814" spans="18:26" x14ac:dyDescent="0.25">
      <c r="R814" s="13"/>
      <c r="S814" s="175" t="s">
        <v>366</v>
      </c>
      <c r="T814" s="249"/>
      <c r="Z814" s="1"/>
    </row>
    <row r="815" spans="18:26" x14ac:dyDescent="0.25">
      <c r="R815" s="189" t="s">
        <v>259</v>
      </c>
      <c r="S815" s="13">
        <v>-4.3333000000000004</v>
      </c>
      <c r="T815" s="13"/>
      <c r="Z815" s="1"/>
    </row>
    <row r="816" spans="18:26" x14ac:dyDescent="0.25">
      <c r="R816" s="189" t="s">
        <v>260</v>
      </c>
      <c r="S816" s="13">
        <v>5.9333</v>
      </c>
      <c r="T816" s="13"/>
      <c r="Z816" s="1"/>
    </row>
    <row r="817" spans="18:26" x14ac:dyDescent="0.25">
      <c r="R817" s="13"/>
      <c r="S817" s="13"/>
      <c r="T817" s="146"/>
    </row>
    <row r="818" spans="18:26" x14ac:dyDescent="0.25">
      <c r="S818" s="1"/>
      <c r="T818" s="1"/>
      <c r="U818" s="1"/>
      <c r="V818" s="1"/>
      <c r="W818" s="1"/>
      <c r="X818" s="1"/>
      <c r="Y818" s="1"/>
    </row>
    <row r="819" spans="18:26" x14ac:dyDescent="0.25">
      <c r="S819" s="1"/>
      <c r="T819" s="1"/>
      <c r="U819" s="1"/>
      <c r="V819" s="1"/>
      <c r="W819" s="1"/>
      <c r="X819" s="1"/>
      <c r="Y819" s="1"/>
    </row>
    <row r="820" spans="18:26" x14ac:dyDescent="0.25">
      <c r="S820" s="1"/>
      <c r="T820" s="1"/>
      <c r="U820" s="1"/>
      <c r="V820" s="1"/>
      <c r="W820" s="1"/>
      <c r="X820" s="1"/>
      <c r="Y820" s="1"/>
      <c r="Z820" s="1"/>
    </row>
    <row r="821" spans="18:26" x14ac:dyDescent="0.25">
      <c r="S821" s="1"/>
      <c r="T821" s="1"/>
      <c r="U821" s="1"/>
      <c r="V821" s="1"/>
      <c r="W821" s="1"/>
      <c r="X821" s="1"/>
      <c r="Y821" s="1"/>
      <c r="Z821" s="1"/>
    </row>
    <row r="822" spans="18:26" x14ac:dyDescent="0.25">
      <c r="S822" s="1"/>
      <c r="T822" s="1"/>
      <c r="U822" s="1"/>
      <c r="V822" s="1"/>
      <c r="W822" s="1"/>
      <c r="X822" s="1"/>
      <c r="Y822" s="1"/>
    </row>
    <row r="823" spans="18:26" x14ac:dyDescent="0.25">
      <c r="S823" s="1"/>
      <c r="T823" s="1"/>
      <c r="U823" s="1"/>
      <c r="V823" s="1"/>
      <c r="W823" s="1"/>
      <c r="X823" s="1"/>
      <c r="Y823" s="1"/>
      <c r="Z823" s="13"/>
    </row>
    <row r="824" spans="18:26" x14ac:dyDescent="0.25">
      <c r="S824" s="1"/>
      <c r="T824" s="1"/>
      <c r="U824" s="1"/>
      <c r="V824" s="1"/>
      <c r="W824" s="1"/>
      <c r="X824" s="1"/>
      <c r="Y824" s="1"/>
      <c r="Z824" s="13"/>
    </row>
    <row r="825" spans="18:26" x14ac:dyDescent="0.25">
      <c r="S825" s="1"/>
      <c r="T825" s="1"/>
      <c r="U825" s="1"/>
      <c r="V825" s="1"/>
      <c r="W825" s="1"/>
      <c r="X825" s="1"/>
      <c r="Y825" s="1"/>
    </row>
    <row r="826" spans="18:26" x14ac:dyDescent="0.25">
      <c r="S826" s="1"/>
      <c r="T826" s="1"/>
      <c r="U826" s="1"/>
      <c r="V826" s="1"/>
      <c r="W826" s="1"/>
      <c r="X826" s="1"/>
      <c r="Y826" s="1"/>
    </row>
    <row r="827" spans="18:26" x14ac:dyDescent="0.25">
      <c r="S827" s="1"/>
      <c r="T827" s="1"/>
      <c r="U827" s="1"/>
      <c r="V827" s="1"/>
      <c r="W827" s="1"/>
      <c r="X827" s="1"/>
      <c r="Y827" s="1"/>
    </row>
    <row r="828" spans="18:26" x14ac:dyDescent="0.25">
      <c r="S828" s="1"/>
      <c r="T828" s="1"/>
      <c r="U828" s="1"/>
      <c r="V828" s="1"/>
      <c r="W828" s="1"/>
      <c r="X828" s="1"/>
      <c r="Y828" s="1"/>
    </row>
    <row r="829" spans="18:26" x14ac:dyDescent="0.25">
      <c r="S829" s="1"/>
      <c r="T829" s="1"/>
      <c r="U829" s="1"/>
      <c r="V829" s="1"/>
      <c r="W829" s="1"/>
      <c r="X829" s="1"/>
      <c r="Y829" s="1"/>
    </row>
    <row r="830" spans="18:26" x14ac:dyDescent="0.25">
      <c r="S830" s="1"/>
      <c r="T830" s="1"/>
      <c r="U830" s="1"/>
      <c r="V830" s="1"/>
      <c r="W830" s="1"/>
      <c r="X830" s="1"/>
      <c r="Y830" s="1"/>
    </row>
    <row r="831" spans="18:26" x14ac:dyDescent="0.25">
      <c r="S831" s="1"/>
      <c r="T831" s="1"/>
      <c r="U831" s="1"/>
      <c r="V831" s="1"/>
      <c r="W831" s="1"/>
      <c r="X831" s="1"/>
      <c r="Y831" s="1"/>
    </row>
    <row r="1031" spans="26:26" x14ac:dyDescent="0.25">
      <c r="Z1031" s="1"/>
    </row>
    <row r="1032" spans="26:26" x14ac:dyDescent="0.25">
      <c r="Z1032" s="1"/>
    </row>
    <row r="1033" spans="26:26" x14ac:dyDescent="0.25">
      <c r="Z1033" s="1"/>
    </row>
    <row r="1034" spans="26:26" x14ac:dyDescent="0.25">
      <c r="Z1034" s="1"/>
    </row>
    <row r="1035" spans="26:26" x14ac:dyDescent="0.25">
      <c r="Z1035" s="1"/>
    </row>
    <row r="1036" spans="26:26" x14ac:dyDescent="0.25">
      <c r="Z1036" s="1"/>
    </row>
    <row r="1037" spans="26:26" x14ac:dyDescent="0.25">
      <c r="Z1037" s="1"/>
    </row>
    <row r="1038" spans="26:26" x14ac:dyDescent="0.25">
      <c r="Z1038" s="1"/>
    </row>
    <row r="1039" spans="26:26" x14ac:dyDescent="0.25">
      <c r="Z1039" s="1"/>
    </row>
    <row r="1040" spans="26:26" x14ac:dyDescent="0.25">
      <c r="Z1040" s="1"/>
    </row>
    <row r="1041" spans="26:26" x14ac:dyDescent="0.25">
      <c r="Z1041" s="1"/>
    </row>
    <row r="1042" spans="26:26" x14ac:dyDescent="0.25">
      <c r="Z1042" s="1"/>
    </row>
    <row r="1043" spans="26:26" x14ac:dyDescent="0.25">
      <c r="Z1043" s="1"/>
    </row>
  </sheetData>
  <sheetProtection algorithmName="SHA-512" hashValue="Ip7aScDtJx07CWl4lSjOjYssGLi9MoPDrW/sI6t0MxZVnAe0MneaA/nNCP+6nA2/6uHoUIh5Lcq0yqOy1l9z4g==" saltValue="FTtVjr+nksb+OuEqbiw2dg==" spinCount="100000" sheet="1" objects="1" scenarios="1"/>
  <mergeCells count="14">
    <mergeCell ref="S421:T421"/>
    <mergeCell ref="S487:T487"/>
    <mergeCell ref="S554:T554"/>
    <mergeCell ref="AA5:AH6"/>
    <mergeCell ref="R751:R752"/>
    <mergeCell ref="R584:R585"/>
    <mergeCell ref="R619:R620"/>
    <mergeCell ref="R718:R719"/>
    <mergeCell ref="R417:R418"/>
    <mergeCell ref="B5:H6"/>
    <mergeCell ref="AA147:AA148"/>
    <mergeCell ref="J5:P6"/>
    <mergeCell ref="AJ5:AP6"/>
    <mergeCell ref="R5:Y6"/>
  </mergeCells>
  <printOptions gridLines="1"/>
  <pageMargins left="0.7" right="0.7" top="0.75" bottom="0.75" header="0.3" footer="0.3"/>
  <pageSetup scale="10" orientation="portrait" r:id="rId1"/>
  <rowBreaks count="5" manualBreakCount="5">
    <brk id="166" max="16383" man="1"/>
    <brk id="210" max="16383" man="1"/>
    <brk id="361" max="16383" man="1"/>
    <brk id="518" max="16383" man="1"/>
    <brk id="677" max="16383" man="1"/>
  </rowBreaks>
  <colBreaks count="2" manualBreakCount="2">
    <brk id="16" max="1048575" man="1"/>
    <brk id="34"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416"/>
  <sheetViews>
    <sheetView topLeftCell="A322" zoomScale="70" zoomScaleNormal="70" zoomScalePageLayoutView="70" workbookViewId="0">
      <selection activeCell="E360" sqref="E360"/>
    </sheetView>
  </sheetViews>
  <sheetFormatPr defaultColWidth="8.7109375" defaultRowHeight="15" x14ac:dyDescent="0.25"/>
  <cols>
    <col min="1" max="2" width="35.7109375" style="14" bestFit="1" customWidth="1"/>
    <col min="3" max="3" width="22.28515625" style="14" customWidth="1"/>
    <col min="4" max="4" width="22.42578125" style="14" customWidth="1"/>
    <col min="5" max="5" width="18.5703125" style="14" customWidth="1"/>
    <col min="6" max="6" width="12.7109375" style="14" customWidth="1"/>
    <col min="7" max="7" width="14.42578125" style="14" customWidth="1"/>
    <col min="8" max="8" width="14.5703125" style="14" customWidth="1"/>
    <col min="9" max="9" width="19.28515625" style="14" bestFit="1" customWidth="1"/>
    <col min="10" max="10" width="10.28515625" style="14" customWidth="1"/>
    <col min="11" max="11" width="19.28515625" style="14" bestFit="1" customWidth="1"/>
    <col min="12" max="12" width="18.5703125" style="14" customWidth="1"/>
    <col min="13" max="13" width="13.7109375" style="14" customWidth="1"/>
    <col min="14" max="16384" width="8.7109375" style="14"/>
  </cols>
  <sheetData>
    <row r="1" spans="1:15" ht="21" x14ac:dyDescent="0.35">
      <c r="A1" s="433" t="s">
        <v>346</v>
      </c>
      <c r="B1" s="435"/>
      <c r="C1" s="325" t="s">
        <v>372</v>
      </c>
      <c r="D1" s="324"/>
      <c r="E1" s="321"/>
      <c r="F1" s="322"/>
      <c r="G1" s="433" t="s">
        <v>18</v>
      </c>
      <c r="H1" s="434"/>
      <c r="I1" s="434"/>
      <c r="J1" s="434"/>
      <c r="K1" s="435"/>
      <c r="L1" s="21"/>
    </row>
    <row r="2" spans="1:15" ht="15.75" x14ac:dyDescent="0.25">
      <c r="A2" s="271" t="s">
        <v>1</v>
      </c>
      <c r="B2" s="271" t="s">
        <v>2</v>
      </c>
      <c r="C2" s="462" t="s">
        <v>3</v>
      </c>
      <c r="D2" s="464"/>
      <c r="E2" s="271" t="s">
        <v>15</v>
      </c>
      <c r="F2" s="271" t="s">
        <v>16</v>
      </c>
      <c r="G2" s="271" t="s">
        <v>19</v>
      </c>
      <c r="H2" s="271" t="s">
        <v>20</v>
      </c>
      <c r="I2" s="271" t="s">
        <v>20</v>
      </c>
      <c r="J2" s="271" t="s">
        <v>21</v>
      </c>
      <c r="K2" s="95" t="s">
        <v>21</v>
      </c>
      <c r="L2" s="21"/>
    </row>
    <row r="3" spans="1:15" ht="15.75" x14ac:dyDescent="0.25">
      <c r="A3" s="447" t="s">
        <v>78</v>
      </c>
      <c r="B3" s="270" t="s">
        <v>177</v>
      </c>
      <c r="C3" s="257" t="s">
        <v>329</v>
      </c>
      <c r="D3" s="97"/>
      <c r="E3" s="253"/>
      <c r="F3" s="260" t="str">
        <f>IF(E3="","",IF(E3&gt;78,0,IF(E3&lt;30,1,ROUND('Performance Standards'!C$14*E3^2+'Performance Standards'!C$15*E3+'Performance Standards'!C$16,2))))</f>
        <v/>
      </c>
      <c r="G3" s="157" t="str">
        <f>IFERROR(AVERAGE(F3),"")</f>
        <v/>
      </c>
      <c r="H3" s="492" t="str">
        <f>IFERROR(ROUND(AVERAGE(G3:G6),2),"")</f>
        <v/>
      </c>
      <c r="I3" s="425" t="str">
        <f>IF(H3="","",IF(H3&gt;0.69,"Functioning",IF(H3&gt;0.29,"Functioning At Risk",IF(H3&gt;-1,"Not Functioning"))))</f>
        <v/>
      </c>
      <c r="J3" s="423" t="str">
        <f>IF(AND(H3="",H7="",H9="",H28="",H34=""),"",ROUND((IF(H3="",0,H3)*0.2)+(IF(H7="",0,H7)*0.2)+(IF(H9="",0,H9)*0.2)+(IF(H28="",0,H28)*0.2)+(IF(H34="",0,H34)*0.2),2))</f>
        <v/>
      </c>
      <c r="K3" s="423" t="str">
        <f>IF(J3="","",IF(J3&lt;0.3, "Not Functioning",IF(OR(H3&lt;0.7,H7&lt;0.7,H9&lt;0.7,H28&lt;0.7,H34&lt;0.7),"Functioning At Risk",IF(J3&lt;0.7,"Functioning At Risk","Functioning"))))</f>
        <v/>
      </c>
      <c r="L3" s="21"/>
      <c r="N3" s="19"/>
    </row>
    <row r="4" spans="1:15" ht="15.75" x14ac:dyDescent="0.25">
      <c r="A4" s="448"/>
      <c r="B4" s="489" t="s">
        <v>328</v>
      </c>
      <c r="C4" s="257" t="s">
        <v>329</v>
      </c>
      <c r="D4" s="256"/>
      <c r="E4" s="253"/>
      <c r="F4" s="260" t="str">
        <f>IF(E4="","",IF(E4&gt;78,0,IF(E4&lt;30,1,ROUND('Performance Standards'!C$14*E4^2+'Performance Standards'!C$15*E4+'Performance Standards'!C$16,2))))</f>
        <v/>
      </c>
      <c r="G4" s="486" t="str">
        <f>IFERROR(AVERAGE(F4:F6),"")</f>
        <v/>
      </c>
      <c r="H4" s="493"/>
      <c r="I4" s="425"/>
      <c r="J4" s="423"/>
      <c r="K4" s="423"/>
      <c r="L4" s="21"/>
      <c r="N4" s="19"/>
    </row>
    <row r="5" spans="1:15" ht="15.75" x14ac:dyDescent="0.25">
      <c r="A5" s="448"/>
      <c r="B5" s="490"/>
      <c r="C5" s="258" t="s">
        <v>330</v>
      </c>
      <c r="D5" s="97"/>
      <c r="E5" s="304"/>
      <c r="F5" s="98" t="str">
        <f>IF(E5="","",IF(E5&gt;3,0,IF(E5=0,1,ROUND('Performance Standards'!C$48*E5+'Performance Standards'!C$49,2))))</f>
        <v/>
      </c>
      <c r="G5" s="487"/>
      <c r="H5" s="493"/>
      <c r="I5" s="425"/>
      <c r="J5" s="423"/>
      <c r="K5" s="423"/>
      <c r="L5" s="21"/>
      <c r="N5" s="19"/>
    </row>
    <row r="6" spans="1:15" ht="15.75" x14ac:dyDescent="0.25">
      <c r="A6" s="448"/>
      <c r="B6" s="491"/>
      <c r="C6" s="259" t="s">
        <v>331</v>
      </c>
      <c r="D6" s="101"/>
      <c r="E6" s="305"/>
      <c r="F6" s="255" t="str">
        <f>IF(E6="","",IF(E6&gt;=30,1,ROUND('Performance Standards'!$C$83*E6^2+'Performance Standards'!$C$84*E6+'Performance Standards'!$C$85,2)))</f>
        <v/>
      </c>
      <c r="G6" s="488"/>
      <c r="H6" s="493"/>
      <c r="I6" s="425"/>
      <c r="J6" s="423"/>
      <c r="K6" s="423"/>
      <c r="L6" s="21"/>
      <c r="N6" s="19"/>
      <c r="O6" s="19"/>
    </row>
    <row r="7" spans="1:15" ht="15.75" x14ac:dyDescent="0.25">
      <c r="A7" s="445" t="s">
        <v>6</v>
      </c>
      <c r="B7" s="445" t="s">
        <v>7</v>
      </c>
      <c r="C7" s="102" t="s">
        <v>8</v>
      </c>
      <c r="D7" s="102"/>
      <c r="E7" s="304"/>
      <c r="F7" s="103" t="str">
        <f>IF(E7="","",ROUND(IF(E7&gt;1.6,0,IF(E7&lt;=1,1,E7^2*'Performance Standards'!K$14+E7*'Performance Standards'!K$15+'Performance Standards'!K$16)),2))</f>
        <v/>
      </c>
      <c r="G7" s="449" t="str">
        <f>IFERROR(AVERAGE(F7:F8),"")</f>
        <v/>
      </c>
      <c r="H7" s="449" t="str">
        <f>IFERROR(ROUND(AVERAGE(G7),2),"")</f>
        <v/>
      </c>
      <c r="I7" s="436" t="str">
        <f>IF(H7="","",IF(H7&gt;0.69,"Functioning",IF(H7&gt;0.29,"Functioning At Risk",IF(H7&gt;-1,"Not Functioning"))))</f>
        <v/>
      </c>
      <c r="J7" s="423"/>
      <c r="K7" s="423"/>
      <c r="L7" s="21"/>
      <c r="N7" s="19"/>
      <c r="O7" s="19"/>
    </row>
    <row r="8" spans="1:15" ht="15.75" x14ac:dyDescent="0.25">
      <c r="A8" s="446"/>
      <c r="B8" s="446"/>
      <c r="C8" s="104" t="s">
        <v>9</v>
      </c>
      <c r="D8" s="104"/>
      <c r="E8" s="305"/>
      <c r="F8" s="105" t="str">
        <f>IF(E8="","",IF(OR('Quantification Tool'!B$7="A",'Quantification Tool'!B$7="B", 'Quantification Tool'!B$7="Bc"),IF(E8&lt;1.2,0,IF(E8&gt;=2.2,1,ROUND(IF(E8&lt;1.4,E8*'Performance Standards'!$K$84+'Performance Standards'!$K$85,E8*'Performance Standards'!$L$84+'Performance Standards'!$L$85),2))),IF(OR('Quantification Tool'!B$7="C",'Quantification Tool'!B$7="E"),IF(E8&lt;2,0,IF(E8&gt;=5,1,ROUND(IF(E8&lt;2.4,E8*'Performance Standards'!$L$49+'Performance Standards'!$L$50,E8*'Performance Standards'!$K$49+'Performance Standards'!$K$50),2))))))</f>
        <v/>
      </c>
      <c r="G8" s="450"/>
      <c r="H8" s="450"/>
      <c r="I8" s="437"/>
      <c r="J8" s="423"/>
      <c r="K8" s="423"/>
      <c r="L8" s="21"/>
      <c r="N8" s="19"/>
      <c r="O8" s="19"/>
    </row>
    <row r="9" spans="1:15" ht="15.75" x14ac:dyDescent="0.25">
      <c r="A9" s="439" t="s">
        <v>30</v>
      </c>
      <c r="B9" s="439" t="s">
        <v>31</v>
      </c>
      <c r="C9" s="111" t="s">
        <v>27</v>
      </c>
      <c r="D9" s="318"/>
      <c r="E9" s="253"/>
      <c r="F9" s="132" t="str">
        <f>IF(E9="","",IF(E9&gt;700,1,IF(E9&lt;300,ROUND('Performance Standards'!$S$14*(E9^2)+'Performance Standards'!$S$15*E9+'Performance Standards'!$S$16,2),ROUND('Performance Standards'!$T$15*E9+'Performance Standards'!$T$16,2))))</f>
        <v/>
      </c>
      <c r="G9" s="441" t="str">
        <f>IFERROR(AVERAGE(F9:F10),"")</f>
        <v/>
      </c>
      <c r="H9" s="438" t="str">
        <f>IFERROR(ROUND(AVERAGE(G9:G27),2),"")</f>
        <v/>
      </c>
      <c r="I9" s="423" t="str">
        <f>IF(H9="","",IF(H9&gt;0.69,"Functioning",IF(H9&gt;0.29,"Functioning At Risk",IF(H9&gt;-1,"Not Functioning"))))</f>
        <v/>
      </c>
      <c r="J9" s="423"/>
      <c r="K9" s="423"/>
      <c r="L9" s="21"/>
      <c r="N9" s="19"/>
      <c r="O9" s="19"/>
    </row>
    <row r="10" spans="1:15" ht="15.75" x14ac:dyDescent="0.25">
      <c r="A10" s="443"/>
      <c r="B10" s="440"/>
      <c r="C10" s="113" t="s">
        <v>369</v>
      </c>
      <c r="D10" s="317"/>
      <c r="E10" s="305"/>
      <c r="F10" s="319" t="str">
        <f>IF(E10="","",IF(E10&gt;30,1,IF(E10&lt;16,ROUND('Performance Standards'!$S$48*(E10^2)+'Performance Standards'!$S$49*E10+'Performance Standards'!$S$50,2),ROUND('Performance Standards'!$T$49*E10+'Performance Standards'!$T$50,2))))</f>
        <v/>
      </c>
      <c r="G10" s="442"/>
      <c r="H10" s="438"/>
      <c r="I10" s="423"/>
      <c r="J10" s="423"/>
      <c r="K10" s="423"/>
      <c r="L10" s="21"/>
      <c r="N10" s="19"/>
      <c r="O10" s="19"/>
    </row>
    <row r="11" spans="1:15" ht="15.75" x14ac:dyDescent="0.25">
      <c r="A11" s="443"/>
      <c r="B11" s="443" t="s">
        <v>54</v>
      </c>
      <c r="C11" s="108" t="s">
        <v>156</v>
      </c>
      <c r="D11" s="108"/>
      <c r="E11" s="253"/>
      <c r="F11" s="109" t="str">
        <f>IF(E11="","",ROUND(IF(E11&gt;0.7,0,IF(E11&lt;=0.1,1,E11^3*'Performance Standards'!S$83+E11^2*'Performance Standards'!S$84+E11*'Performance Standards'!S$85+'Performance Standards'!S$86)),2))</f>
        <v/>
      </c>
      <c r="G11" s="444" t="str">
        <f>IFERROR(IF(E11="",AVERAGE(F12:F13),IF(E12="",F11,MAX(F11,AVERAGE(F12:F13)))),"")</f>
        <v/>
      </c>
      <c r="H11" s="438"/>
      <c r="I11" s="423"/>
      <c r="J11" s="423"/>
      <c r="K11" s="423"/>
      <c r="L11" s="21"/>
      <c r="N11" s="19"/>
      <c r="O11" s="19"/>
    </row>
    <row r="12" spans="1:15" ht="15.75" x14ac:dyDescent="0.25">
      <c r="A12" s="443"/>
      <c r="B12" s="443"/>
      <c r="C12" s="108" t="s">
        <v>55</v>
      </c>
      <c r="D12" s="108"/>
      <c r="E12" s="304"/>
      <c r="F12" s="109" t="str">
        <f>IF(E12="","",IF(OR(E12="Ex/Ex",E12="Ex/VH"),0, IF(OR(E12="Ex/H",E12="VH/Ex",E12="VH/VH", E12="H/Ex",E12="H/VH",E12="M/Ex"),0.1,IF(OR(E12="Ex/M",E12="VH/H",E12="H/H", E12="M/VH"),0.2, IF(OR(E12="Ex/L",E12="VH/M",E12="H/M", E12="M/H",E12="L/Ex"),0.3, IF(OR(E12="Ex/VL",E12="VH/L",E12="H/L"),0.4, IF(OR(E12="VH/VL",E12="H/VL",E12="M/M", E12="L/VH"),0.5, IF(OR(E12="M/L",E12="L/H"),0.6, IF(OR(E12="M/VL",E12="L/M"),0.7, IF(OR(E12="L/L",E12="L/VL"),1))))))))))</f>
        <v/>
      </c>
      <c r="G12" s="444"/>
      <c r="H12" s="438"/>
      <c r="I12" s="423"/>
      <c r="J12" s="423"/>
      <c r="K12" s="423"/>
      <c r="L12" s="21"/>
      <c r="N12" s="19"/>
      <c r="O12" s="19"/>
    </row>
    <row r="13" spans="1:15" ht="15.75" x14ac:dyDescent="0.25">
      <c r="A13" s="443"/>
      <c r="B13" s="443"/>
      <c r="C13" s="110" t="s">
        <v>192</v>
      </c>
      <c r="D13" s="110"/>
      <c r="E13" s="305"/>
      <c r="F13" s="118" t="str">
        <f>IF(E13="","",ROUND(IF(E13&gt;40,0,IF(E13&lt;5,1,E13^3*'Performance Standards'!S$118+E13^2*'Performance Standards'!S$119+E13*'Performance Standards'!S$120+'Performance Standards'!S$121)),2))</f>
        <v/>
      </c>
      <c r="G13" s="444"/>
      <c r="H13" s="438"/>
      <c r="I13" s="423"/>
      <c r="J13" s="423"/>
      <c r="K13" s="423"/>
      <c r="L13" s="21"/>
      <c r="N13" s="19"/>
      <c r="O13" s="19"/>
    </row>
    <row r="14" spans="1:15" ht="15.75" x14ac:dyDescent="0.25">
      <c r="A14" s="443"/>
      <c r="B14" s="439" t="s">
        <v>56</v>
      </c>
      <c r="C14" s="111" t="s">
        <v>242</v>
      </c>
      <c r="D14" s="114"/>
      <c r="E14" s="253"/>
      <c r="F14" s="132" t="str">
        <f>IF(E14="","",ROUND(IF(E14&gt;90,1,E14^2*'Performance Standards'!S$153+E14*'Performance Standards'!S$154+'Performance Standards'!S$155),2))</f>
        <v/>
      </c>
      <c r="G14" s="441" t="str">
        <f>IFERROR(AVERAGE(F14:F21),"")</f>
        <v/>
      </c>
      <c r="H14" s="438"/>
      <c r="I14" s="423"/>
      <c r="J14" s="423"/>
      <c r="K14" s="423"/>
      <c r="L14" s="21"/>
      <c r="N14" s="19"/>
      <c r="O14" s="19"/>
    </row>
    <row r="15" spans="1:15" ht="15.75" x14ac:dyDescent="0.25">
      <c r="A15" s="443"/>
      <c r="B15" s="443"/>
      <c r="C15" s="112" t="s">
        <v>243</v>
      </c>
      <c r="D15" s="108"/>
      <c r="E15" s="304"/>
      <c r="F15" s="109" t="str">
        <f>IF(E15="","",ROUND(IF(E15&gt;90,1,E15^2*'Performance Standards'!S$153+E15*'Performance Standards'!S$154+'Performance Standards'!S$155),2))</f>
        <v/>
      </c>
      <c r="G15" s="444"/>
      <c r="H15" s="438"/>
      <c r="I15" s="423"/>
      <c r="J15" s="423"/>
      <c r="K15" s="423"/>
      <c r="L15" s="21"/>
      <c r="N15" s="19"/>
      <c r="O15" s="19"/>
    </row>
    <row r="16" spans="1:15" ht="15.75" x14ac:dyDescent="0.25">
      <c r="A16" s="443"/>
      <c r="B16" s="443"/>
      <c r="C16" s="112" t="s">
        <v>170</v>
      </c>
      <c r="D16" s="108"/>
      <c r="E16" s="304"/>
      <c r="F16" s="109" t="str">
        <f>IF(E16="","",ROUND(IF(OR('Quantification Tool'!B$7="A",'Quantification Tool'!B$7="B",'Quantification Tool'!B$7="Bc"),IF(E16&gt;=50,1, IF(E16&lt;30, E16*'Performance Standards'!S$188+'Performance Standards'!S$189, E16*'Performance Standards'!T$188+'Performance Standards'!T$189)), IF(E16&gt;=150,1,IF(E16&lt;48, E16^2*'Performance Standards'!S$222+E16*'Performance Standards'!S$223+'Performance Standards'!S$224, E16*'Performance Standards'!T$223+'Performance Standards'!T$224))),2))</f>
        <v/>
      </c>
      <c r="G16" s="444"/>
      <c r="H16" s="438"/>
      <c r="I16" s="423"/>
      <c r="J16" s="423"/>
      <c r="K16" s="423"/>
      <c r="L16" s="21"/>
      <c r="N16" s="19"/>
      <c r="O16" s="19"/>
    </row>
    <row r="17" spans="1:15" ht="15.75" x14ac:dyDescent="0.25">
      <c r="A17" s="443"/>
      <c r="B17" s="443"/>
      <c r="C17" s="112" t="s">
        <v>171</v>
      </c>
      <c r="D17" s="108"/>
      <c r="E17" s="304"/>
      <c r="F17" s="109" t="str">
        <f>IF(E17="","",ROUND(IF(OR('Quantification Tool'!B$7="A",'Quantification Tool'!B$7="B",'Quantification Tool'!B$7="Bc"),IF(E17&gt;=50,1, IF(E17&lt;30, E17*'Performance Standards'!S$188+'Performance Standards'!S$189, E17*'Performance Standards'!T$188+'Performance Standards'!T$189)), IF(E17&gt;=150,1,IF(E17&lt;48, E17^2*'Performance Standards'!S$222+E17*'Performance Standards'!S$223+'Performance Standards'!S$224, E17*'Performance Standards'!T$223+'Performance Standards'!T$224))),2))</f>
        <v/>
      </c>
      <c r="G17" s="444"/>
      <c r="H17" s="438"/>
      <c r="I17" s="423"/>
      <c r="J17" s="423"/>
      <c r="K17" s="423"/>
      <c r="L17" s="21"/>
      <c r="N17" s="19"/>
      <c r="O17" s="19"/>
    </row>
    <row r="18" spans="1:15" ht="15.75" x14ac:dyDescent="0.25">
      <c r="A18" s="443"/>
      <c r="B18" s="443"/>
      <c r="C18" s="108" t="s">
        <v>251</v>
      </c>
      <c r="D18" s="108"/>
      <c r="E18" s="304"/>
      <c r="F18" s="109" t="str">
        <f>IF(E18="","",ROUND(IF(E18&gt;100,1,E18^2*'Performance Standards'!S$255+E18*'Performance Standards'!S$256+'Performance Standards'!S$257),2))</f>
        <v/>
      </c>
      <c r="G18" s="444"/>
      <c r="H18" s="438"/>
      <c r="I18" s="423"/>
      <c r="J18" s="423"/>
      <c r="K18" s="423"/>
      <c r="L18" s="21"/>
      <c r="N18" s="19"/>
      <c r="O18" s="19"/>
    </row>
    <row r="19" spans="1:15" ht="15.75" x14ac:dyDescent="0.25">
      <c r="A19" s="443"/>
      <c r="B19" s="443"/>
      <c r="C19" s="108" t="s">
        <v>252</v>
      </c>
      <c r="D19" s="108"/>
      <c r="E19" s="304"/>
      <c r="F19" s="109" t="str">
        <f>IF(E19="","",ROUND(IF(E19&gt;100,1,E19^2*'Performance Standards'!S$255+E19*'Performance Standards'!S$256+'Performance Standards'!S$257),2))</f>
        <v/>
      </c>
      <c r="G19" s="444"/>
      <c r="H19" s="438"/>
      <c r="I19" s="423"/>
      <c r="J19" s="423"/>
      <c r="K19" s="423"/>
      <c r="L19" s="21"/>
      <c r="N19" s="19"/>
      <c r="O19" s="19"/>
    </row>
    <row r="20" spans="1:15" ht="15.75" x14ac:dyDescent="0.25">
      <c r="A20" s="443"/>
      <c r="B20" s="443"/>
      <c r="C20" s="112" t="s">
        <v>342</v>
      </c>
      <c r="D20" s="108"/>
      <c r="E20" s="304"/>
      <c r="F20" s="109" t="str">
        <f>IF(E20="","",ROUND(IF(E20&gt;=260,0.5,E20*'Performance Standards'!S$288+'Performance Standards'!S$289),2))</f>
        <v/>
      </c>
      <c r="G20" s="444"/>
      <c r="H20" s="438"/>
      <c r="I20" s="423"/>
      <c r="J20" s="423"/>
      <c r="K20" s="423"/>
      <c r="L20" s="21"/>
      <c r="N20" s="19"/>
      <c r="O20" s="19"/>
    </row>
    <row r="21" spans="1:15" ht="15.75" x14ac:dyDescent="0.25">
      <c r="A21" s="443"/>
      <c r="B21" s="443"/>
      <c r="C21" s="113" t="s">
        <v>343</v>
      </c>
      <c r="D21" s="116"/>
      <c r="E21" s="304"/>
      <c r="F21" s="219" t="str">
        <f>IF(E21="","",ROUND(IF(E21&gt;=260,0.5,E21*'Performance Standards'!S$288+'Performance Standards'!S$289),2))</f>
        <v/>
      </c>
      <c r="G21" s="442"/>
      <c r="H21" s="438"/>
      <c r="I21" s="423"/>
      <c r="J21" s="423"/>
      <c r="K21" s="423"/>
      <c r="L21" s="21"/>
      <c r="N21" s="19"/>
      <c r="O21" s="19"/>
    </row>
    <row r="22" spans="1:15" ht="15.75" x14ac:dyDescent="0.25">
      <c r="A22" s="443"/>
      <c r="B22" s="106" t="s">
        <v>254</v>
      </c>
      <c r="C22" s="131" t="s">
        <v>345</v>
      </c>
      <c r="D22" s="108"/>
      <c r="E22" s="87"/>
      <c r="F22" s="109" t="str">
        <f>IF(E22="","",IF('Quantification Tool'!B$10="Gravel",IF(E22&gt;0.1,1,IF(E22&lt;=0.01,0,ROUND(E22*'Performance Standards'!$S$323+'Performance Standards'!$S$324,2)))))</f>
        <v/>
      </c>
      <c r="G22" s="155" t="str">
        <f>IFERROR(AVERAGE(F22),"")</f>
        <v/>
      </c>
      <c r="H22" s="438"/>
      <c r="I22" s="423"/>
      <c r="J22" s="423"/>
      <c r="K22" s="423"/>
      <c r="L22" s="21"/>
      <c r="N22" s="19"/>
      <c r="O22" s="19"/>
    </row>
    <row r="23" spans="1:15" ht="15.75" x14ac:dyDescent="0.25">
      <c r="A23" s="443"/>
      <c r="B23" s="439" t="s">
        <v>57</v>
      </c>
      <c r="C23" s="111" t="s">
        <v>58</v>
      </c>
      <c r="D23" s="114"/>
      <c r="E23" s="253"/>
      <c r="F23" s="310" t="str">
        <f>IF(E23="","",IF('Quantification Tool'!B$13&gt;=4,IF(AND(E23&lt;=5,E23&gt;=0.1),1,IF(OR(E23&lt;0.1,E23&gt;8),0,ROUND(E23*'Performance Standards'!$S$357+'Performance Standards'!$S$358,2))), IF(AND('Quantification Tool'!B$9&gt;=10,OR('Quantification Tool'!B$7="C",'Quantification Tool'!B$7="E")),IF(OR(E23&lt;3,E23&gt;8),0,IF(AND(E23&gt;=4,E23&lt;=7),1,ROUND(E23^2*'Performance Standards'!$S$389+E23*'Performance Standards'!$S$390+'Performance Standards'!$S$391,2))),  IF(AND('Quantification Tool'!B$9&lt;10,OR('Quantification Tool'!B$7="C",'Quantification Tool'!B$7="E")),IF(OR(E23&lt;3,E23&gt;7),0,IF(E23&lt;4,ROUND(E23*'Performance Standards'!$S$423+'Performance Standards'!$S$424,2), IF(E23&gt;5, ROUND(E23*'Performance Standards'!$T$423+'Performance Standards'!T$424,2),1))),IF(OR(AND('Quantification Tool'!B$13&lt;2,'Quantification Tool'!B$7="Bc"),AND('Quantification Tool'!B$13&gt;=2,'Quantification Tool'!B$13&lt;=4,'Quantification Tool'!B$7="B")),ROUND(IF(E23&gt;8,0,IF(E23&lt;=0.6,1,E23^2*'Performance Standards'!$S$455+E23*'Performance Standards'!$S$456+'Performance Standards'!$S$457)),2))))))</f>
        <v/>
      </c>
      <c r="G23" s="441" t="str">
        <f>IFERROR(AVERAGE(F23:F26),"")</f>
        <v/>
      </c>
      <c r="H23" s="438"/>
      <c r="I23" s="423"/>
      <c r="J23" s="423"/>
      <c r="K23" s="423"/>
      <c r="L23" s="21"/>
      <c r="N23" s="19"/>
      <c r="O23" s="19"/>
    </row>
    <row r="24" spans="1:15" ht="15.75" x14ac:dyDescent="0.25">
      <c r="A24" s="443"/>
      <c r="B24" s="443"/>
      <c r="C24" s="112" t="s">
        <v>59</v>
      </c>
      <c r="D24" s="108"/>
      <c r="E24" s="304"/>
      <c r="F24" s="311" t="str">
        <f>IF(E24="","",IF(E24&lt;=1.1,0,IF(OR('Quantification Tool'!B$7="A", 'Quantification Tool'!B$7="B", 'Quantification Tool'!B$7="Bc"),IF(E24&gt;1.74,1,ROUND(IF(E24&lt;1.2,E24*'Performance Standards'!S$556+'Performance Standards'!S$557,E24*'Performance Standards'!T$556+'Performance Standards'!T$557),2)),IF(OR('Quantification Tool'!B$7="C", 'Quantification Tool'!B$7="E"),IF('Quantification Tool'!B$10="Gravel",IF(E24&gt;1.74,1,ROUND(IF(E24&lt;1.2,E24*'Performance Standards'!S$489+'Performance Standards'!S$490,E24*'Performance Standards'!T$489+'Performance Standards'!T$490),2)),IF('Quantification Tool'!B$10="Sand",IF(E24&gt;=1.25,1,ROUND(E24^2*'Performance Standards'!S$521+E24*'Performance Standards'!S$522+'Performance Standards'!S$523,2))))))))</f>
        <v/>
      </c>
      <c r="G24" s="444"/>
      <c r="H24" s="438"/>
      <c r="I24" s="423"/>
      <c r="J24" s="423"/>
      <c r="K24" s="423"/>
      <c r="L24" s="21"/>
      <c r="N24" s="19"/>
      <c r="O24" s="19"/>
    </row>
    <row r="25" spans="1:15" ht="15.75" x14ac:dyDescent="0.25">
      <c r="A25" s="443"/>
      <c r="B25" s="443"/>
      <c r="C25" s="112" t="s">
        <v>62</v>
      </c>
      <c r="D25" s="108"/>
      <c r="E25" s="304"/>
      <c r="F25" s="312" t="str">
        <f>IF(E25="","",IF('Quantification Tool'!B$13="","Need Slope",IF('Quantification Tool'!B$13&lt;3,ROUND(IF(OR(E25&gt;83,E25&lt;32),0, IF(E25&lt;60,E25*'Performance Standards'!S$591+'Performance Standards'!S$592,IF(E25&gt;70,E25^2*'Performance Standards'!T$590+E25*'Performance Standards'!T$591+'Performance Standards'!T$592,1))),2),IF('Quantification Tool'!B$13&gt;10,ROUND(IF(E25&gt;=80,1,IF(E25&lt;67,0,E25^2*'Performance Standards'!S$657+E25*'Performance Standards'!S$658+'Performance Standards'!S$659)),2),IF(OR(E25&gt;76, E25&lt;34),0,IF(AND(E25&gt;49,E25&lt;61),1,ROUND(IF(E25&lt;50,E25*'Performance Standards'!S$625+'Performance Standards'!S$626,E25*'Performance Standards'!T$625+'Performance Standards'!T$626),2)))))))</f>
        <v/>
      </c>
      <c r="G25" s="444"/>
      <c r="H25" s="438"/>
      <c r="I25" s="423"/>
      <c r="J25" s="423"/>
      <c r="K25" s="423"/>
      <c r="L25" s="21"/>
      <c r="N25" s="19"/>
      <c r="O25" s="19"/>
    </row>
    <row r="26" spans="1:15" ht="15.75" x14ac:dyDescent="0.25">
      <c r="A26" s="443"/>
      <c r="B26" s="440"/>
      <c r="C26" s="116" t="s">
        <v>363</v>
      </c>
      <c r="D26" s="116"/>
      <c r="E26" s="305"/>
      <c r="F26" s="117" t="str">
        <f>IF(E26="","",IF(E26&gt;=1.6,0,IF(E26&lt;=1,1,ROUND('Performance Standards'!$S$689*E26^3+'Performance Standards'!$S$690*E26^2+'Performance Standards'!$S$691*E26+'Performance Standards'!$S$692,2))))</f>
        <v/>
      </c>
      <c r="G26" s="442"/>
      <c r="H26" s="438"/>
      <c r="I26" s="423"/>
      <c r="J26" s="423"/>
      <c r="K26" s="423"/>
      <c r="L26" s="21"/>
      <c r="N26" s="19"/>
      <c r="O26" s="19"/>
    </row>
    <row r="27" spans="1:15" ht="15.75" x14ac:dyDescent="0.25">
      <c r="A27" s="440"/>
      <c r="B27" s="320" t="s">
        <v>64</v>
      </c>
      <c r="C27" s="116" t="s">
        <v>63</v>
      </c>
      <c r="D27" s="116"/>
      <c r="E27" s="305"/>
      <c r="F27" s="118" t="str">
        <f>IF(E27="","",IF(AND('Quantification Tool'!B$7="E",'Quantification Tool'!$B$10="Sand",'Quantification Tool'!$B$18="Unconfined Alluvial"),ROUND(IF(OR(E27&gt;1.8,E27&lt;1.3),0,IF(E27&lt;=1.6,1,E27*'Performance Standards'!$S$723+'Performance Standards'!$S$724)),2),    IF('Quantification Tool'!$B$18="Unconfined Alluvial",ROUND(IF(OR(E27&lt;1.2, E27&gt;1.5),0,IF(E27&lt;=1.4,1,E27*'Performance Standards'!$S$756+'Performance Standards'!$S$757)),2), IF('Quantification Tool'!$B$18="Confined Alluvial",ROUND(IF(E27&lt;1.15,0,IF(E27&lt;=1.4,E27*'Performance Standards'!$S$785+'Performance Standards'!$S$786,1)),2),  IF('Quantification Tool'!$B$18="Colluvial",ROUND(IF(E27&gt;1.3,0,IF(E27&gt;1.2,E27*'Performance Standards'!$S$815+'Performance Standards'!$S$816,1)),2) )))))</f>
        <v/>
      </c>
      <c r="G27" s="158" t="str">
        <f>IFERROR(AVERAGE(F27),"")</f>
        <v/>
      </c>
      <c r="H27" s="438"/>
      <c r="I27" s="423"/>
      <c r="J27" s="423"/>
      <c r="K27" s="423"/>
      <c r="L27" s="21"/>
      <c r="N27" s="19"/>
      <c r="O27" s="19"/>
    </row>
    <row r="28" spans="1:15" ht="15.75" x14ac:dyDescent="0.25">
      <c r="A28" s="431" t="s">
        <v>68</v>
      </c>
      <c r="B28" s="267" t="s">
        <v>161</v>
      </c>
      <c r="C28" s="120" t="s">
        <v>438</v>
      </c>
      <c r="D28" s="120"/>
      <c r="E28" s="87"/>
      <c r="F28" s="124" t="str">
        <f>IF(E28="","",IF('Quantification Tool'!$B$16="Coldwater",IF(E28&gt;77,0,IF(E28&lt;59,1,ROUND(E28*'Performance Standards'!$AB$15+'Performance Standards'!$AB$16,2))),IF('Quantification Tool'!$B$16="Coolwater",IF(E28&gt;97,0,IF(E28&lt;67,1,ROUND(E28*'Performance Standards'!$AC$15+'Performance Standards'!$AC$16,2))))))</f>
        <v/>
      </c>
      <c r="G28" s="159" t="str">
        <f>IFERROR(AVERAGE(F28),"")</f>
        <v/>
      </c>
      <c r="H28" s="426" t="str">
        <f>IFERROR(ROUND(AVERAGE(G28:G33),2),"")</f>
        <v/>
      </c>
      <c r="I28" s="425" t="str">
        <f>IF(H28="","",IF(H28&gt;0.69,"Functioning",IF(H28&gt;0.29,"Functioning At Risk",IF(H28&gt;-1,"Not Functioning"))))</f>
        <v/>
      </c>
      <c r="J28" s="423"/>
      <c r="K28" s="423"/>
      <c r="L28" s="21"/>
      <c r="N28" s="19"/>
      <c r="O28" s="19"/>
    </row>
    <row r="29" spans="1:15" ht="15.75" x14ac:dyDescent="0.25">
      <c r="A29" s="430"/>
      <c r="B29" s="122" t="s">
        <v>194</v>
      </c>
      <c r="C29" s="123" t="s">
        <v>197</v>
      </c>
      <c r="D29" s="123"/>
      <c r="E29" s="304"/>
      <c r="F29" s="121" t="str">
        <f>IF(E29="","",ROUND(IF(E29&gt;=284,0,E29*'Performance Standards'!AB$116+'Performance Standards'!AB$117),2))</f>
        <v/>
      </c>
      <c r="G29" s="159" t="str">
        <f>IFERROR(AVERAGE(F29),"")</f>
        <v/>
      </c>
      <c r="H29" s="426"/>
      <c r="I29" s="425"/>
      <c r="J29" s="423"/>
      <c r="K29" s="423"/>
      <c r="L29" s="21"/>
      <c r="O29" s="19"/>
    </row>
    <row r="30" spans="1:15" ht="15.75" x14ac:dyDescent="0.25">
      <c r="A30" s="430"/>
      <c r="B30" s="430" t="s">
        <v>195</v>
      </c>
      <c r="C30" s="120" t="s">
        <v>92</v>
      </c>
      <c r="D30" s="120"/>
      <c r="E30" s="253"/>
      <c r="F30" s="134" t="str">
        <f>IF(E30="","",IF(OR(E30&lt;0.5,E30&gt;2), 0, ROUND(IF(E30&lt;0.75, E30*'Performance Standards'!$AB$153+'Performance Standards'!$AB$154, IF(E30&lt;=1.33, E30*'Performance Standards'!$AC$153+'Performance Standards'!$AC$154,E30*'Performance Standards'!$AD$153+'Performance Standards'!$AD$154)),2)))</f>
        <v/>
      </c>
      <c r="G30" s="456" t="str">
        <f>IFERROR(AVERAGE(F30:F31),"")</f>
        <v/>
      </c>
      <c r="H30" s="426"/>
      <c r="I30" s="425"/>
      <c r="J30" s="423"/>
      <c r="K30" s="423"/>
      <c r="L30" s="21"/>
      <c r="O30" s="19"/>
    </row>
    <row r="31" spans="1:15" ht="15.75" x14ac:dyDescent="0.25">
      <c r="A31" s="430"/>
      <c r="B31" s="430"/>
      <c r="C31" s="120" t="s">
        <v>193</v>
      </c>
      <c r="D31" s="120"/>
      <c r="E31" s="305"/>
      <c r="F31" s="121" t="str">
        <f>IF(E31="","",IF('Quantification Tool'!$B$8 = "Mountains", IF('Quantification Tool'!$B$9 &lt;=5, IF( 'Quantification Tool'!$B$17= "Winter/Spring", ROUND(IF(E31&gt;=23,1,E31*'Performance Standards'!$AB$188+'Performance Standards'!$AB$189),2), IF('Quantification Tool'!$B$17= "Summer", ROUND(IF(E31&gt;=21,1,E31*'Performance Standards'!$AC$188),2), IF('Quantification Tool'!$B$17= "Fall", ROUND(IF(E31&gt;=18,1,E31*'Performance Standards'!$AD$188),2)))), IF('Quantification Tool'!$B$9&lt;10, IF('Quantification Tool'!$B$17= "Winter/Spring", ROUND(IF(E31&gt;16,1,E31*'Performance Standards'!$AB$222),2),IF('Quantification Tool'!$B$17= "Summer",ROUND(IF(E31&gt;14,1,E31*'Performance Standards'!$AC$222),2), IF('Quantification Tool'!$B$17= "Fall",ROUND(IF(E31&gt;12,1,E31*'Performance Standards'!$AD$222),2)))), IF('Quantification Tool'!$B$17= "Winter/Spring", ROUND(IF(E31&gt;14,1,E31*'Performance Standards'!$AB$256),2),IF('Quantification Tool'!$B$17= "Summer",ROUND(IF(E31&gt;16,1,E31*'Performance Standards'!$AC$256),2), IF('Quantification Tool'!$B$17= "Fall",ROUND(IF(E31&gt;15,1,E31*'Performance Standards'!$AD$256),2)))))), IF('Quantification Tool'!$B$8 = "Piedmont",  IF('Quantification Tool'!$B$9 &lt;=5, IF( 'Quantification Tool'!$B$17= "Winter/Spring", ROUND(IF(E31&gt;=18,1,E31*'Performance Standards'!$AB$290),2), IF('Quantification Tool'!$B$17= "Summer", ROUND(IF(E31&gt;=12,1,E31*'Performance Standards'!$AC$290),2), IF('Quantification Tool'!$B$17= "Fall", ROUND(IF(E31&gt;=14,1,E31*'Performance Standards'!$AD$290),2)))), IF('Quantification Tool'!$B$9&lt;10, IF('Quantification Tool'!$B$17= "Winter/Spring", ROUND(IF(E31&gt;12,1,E31*'Performance Standards'!$AB$326),2),IF('Quantification Tool'!$B$17= "Summer",ROUND(IF(E31&gt;5,1,E31*'Performance Standards'!$AC$326),2), IF('Quantification Tool'!$B$17= "Fall",ROUND(IF(E31&gt;8,1,E31*'Performance Standards'!$AD$326),2)))), IF('Quantification Tool'!$B$17= "Winter/Spring", ROUND(IF(E31&gt;8,1,E31*'Performance Standards'!$AB$360),2),IF('Quantification Tool'!$B$17= "Summer",ROUND(IF(E31&gt;7,1,E31*'Performance Standards'!$AC$360),2), IF('Quantification Tool'!$B$17= "Fall",ROUND(IF(E31&gt;8,1,E31*'Performance Standards'!$AD$360),2)))))),IF('Quantification Tool'!$B$8 = "Coastal Plain", IF('Quantification Tool'!$B$9 &lt;=5, IF( 'Quantification Tool'!$B$17= "Winter/Spring", ROUND(IF(E31&gt;=33,1,E31*'Performance Standards'!$AB$392),2), IF('Quantification Tool'!$B$17= "Summer", ROUND(IF(E31&gt;=14,1,E31*'Performance Standards'!$AC$392),2), IF('Quantification Tool'!$B$17= "Fall", ROUND(IF(E31&gt;=25,1,E31*'Performance Standards'!$AD$392),2)))), IF('Quantification Tool'!$B$9&lt;10, IF('Quantification Tool'!$B$17= "Winter/Spring", ROUND(IF(E31&gt;20,1,E31*'Performance Standards'!$AB$424),2),IF('Quantification Tool'!$B$17= "Summer",ROUND(IF(E31&gt;13,1,E31*'Performance Standards'!$AC$424),2), IF('Quantification Tool'!$B$17= "Fall",ROUND(IF(E31&gt;12,1,E31*'Performance Standards'!$AD$424),2)))), IF('Quantification Tool'!$B$17= "Winter/Spring", ROUND(IF(E31&gt;17,1,E31*'Performance Standards'!$AB$458),2),IF('Quantification Tool'!$B$17= "Summer",ROUND(IF(E31&gt;16,1,E31*'Performance Standards'!$AC$458),2), IF('Quantification Tool'!$B$17= "Fall",ROUND(IF(E31&gt;8,1,E31*'Performance Standards'!$AD$458),2))))))))))</f>
        <v/>
      </c>
      <c r="G31" s="483"/>
      <c r="H31" s="426"/>
      <c r="I31" s="425"/>
      <c r="J31" s="423"/>
      <c r="K31" s="423"/>
      <c r="L31" s="21"/>
      <c r="O31" s="19"/>
    </row>
    <row r="32" spans="1:15" ht="15.75" x14ac:dyDescent="0.25">
      <c r="A32" s="430"/>
      <c r="B32" s="122" t="s">
        <v>162</v>
      </c>
      <c r="C32" s="377" t="s">
        <v>446</v>
      </c>
      <c r="D32" s="378"/>
      <c r="E32" s="304"/>
      <c r="F32" s="125" t="str">
        <f>IF(E32="","",IF(E32&gt;4,0,ROUND(E32^2*'Performance Standards'!$AB$488+E32*'Performance Standards'!$AB$489+'Performance Standards'!$AB$490,2)))</f>
        <v/>
      </c>
      <c r="G32" s="160" t="str">
        <f>IFERROR(AVERAGE(F32),"")</f>
        <v/>
      </c>
      <c r="H32" s="426"/>
      <c r="I32" s="425"/>
      <c r="J32" s="423"/>
      <c r="K32" s="423"/>
      <c r="L32" s="21"/>
      <c r="O32" s="19"/>
    </row>
    <row r="33" spans="1:15" ht="15.75" x14ac:dyDescent="0.25">
      <c r="A33" s="432"/>
      <c r="B33" s="268" t="s">
        <v>163</v>
      </c>
      <c r="C33" s="377" t="s">
        <v>447</v>
      </c>
      <c r="D33" s="378"/>
      <c r="E33" s="253"/>
      <c r="F33" s="121" t="str">
        <f>IF(E33="","",IF(E33&gt;0.23,0,ROUND(E33^2*'Performance Standards'!$AB$521+E33*'Performance Standards'!$AB$522+'Performance Standards'!$AB$523,2)))</f>
        <v/>
      </c>
      <c r="G33" s="161" t="str">
        <f>IFERROR(AVERAGE(F33),"")</f>
        <v/>
      </c>
      <c r="H33" s="426"/>
      <c r="I33" s="425"/>
      <c r="J33" s="423"/>
      <c r="K33" s="423"/>
      <c r="L33" s="21"/>
      <c r="O33" s="19"/>
    </row>
    <row r="34" spans="1:15" ht="15.75" x14ac:dyDescent="0.25">
      <c r="A34" s="427" t="s">
        <v>70</v>
      </c>
      <c r="B34" s="451" t="s">
        <v>93</v>
      </c>
      <c r="C34" s="226" t="s">
        <v>253</v>
      </c>
      <c r="D34" s="227"/>
      <c r="E34" s="253"/>
      <c r="F34" s="228" t="str">
        <f>IF(E34="","",IF('Quantification Tool'!B$8="Mountains",IF(E34&gt;6.52,0,IF(E34&lt;3.3,1,ROUND(IF(E34&gt;5.62,E34*'Performance Standards'!AL$15+'Performance Standards'!AL$16, E34^2*'Performance Standards'!AK$15+E34*'Performance Standards'!AK$16+'Performance Standards'!AK$17),2))),IF('Quantification Tool'!B$8="Piedmont",IF(E34&gt;6.91,0, IF(E34&lt;4.31,1, ROUND(IF(E34&gt;5.85, E34*'Performance Standards'!$AL$49+'Performance Standards'!$AL$50, E34^2*'Performance Standards'!AK$49+E34*'Performance Standards'!AK$50+'Performance Standards'!AK$51),2))))))</f>
        <v/>
      </c>
      <c r="G34" s="484" t="str">
        <f>IFERROR(AVERAGE(F34:F35),"")</f>
        <v/>
      </c>
      <c r="H34" s="424" t="str">
        <f>IFERROR(ROUND(AVERAGE(G34:G36),2),"")</f>
        <v/>
      </c>
      <c r="I34" s="425" t="str">
        <f>IF(H34="","",IF(H34&gt;0.69,"Functioning",IF(H34&gt;0.29,"Functioning At Risk",IF(H34&gt;-1,"Not Functioning"))))</f>
        <v/>
      </c>
      <c r="J34" s="423"/>
      <c r="K34" s="423"/>
      <c r="L34" s="21"/>
      <c r="O34" s="19"/>
    </row>
    <row r="35" spans="1:15" ht="15.75" x14ac:dyDescent="0.25">
      <c r="A35" s="428"/>
      <c r="B35" s="452"/>
      <c r="C35" s="229" t="s">
        <v>264</v>
      </c>
      <c r="D35" s="128"/>
      <c r="E35" s="305"/>
      <c r="F35" s="230" t="str">
        <f>IF(E35="","",ROUND(IF('Quantification Tool'!B$8="Mountains", IF(E35&lt;11,0,IF(E35&gt;35,1,E35^3*'Performance Standards'!AK$83+E35^2*'Performance Standards'!AK$84+E35*'Performance Standards'!AK$85+'Performance Standards'!AK$86)),IF('Quantification Tool'!B$8 = "Piedmont", IF(E35&lt;7,0,IF(E35&gt;27,1,E35^3*'Performance Standards'!AK$116+E35^2*'Performance Standards'!AK$117+E35*'Performance Standards'!AK$118+'Performance Standards'!AK$119)), IF('Quantification Tool'!B$8="Coastal Plain",IF(E35&lt;6,0,IF(E35&gt;23,1,E35^3*'Performance Standards'!AK$151+E35^2*'Performance Standards'!AK$152+E35*'Performance Standards'!AK$153+'Performance Standards'!AK$154))))),2))</f>
        <v/>
      </c>
      <c r="G35" s="485"/>
      <c r="H35" s="424"/>
      <c r="I35" s="425"/>
      <c r="J35" s="423"/>
      <c r="K35" s="423"/>
      <c r="L35" s="21"/>
      <c r="O35" s="19"/>
    </row>
    <row r="36" spans="1:15" ht="15.75" x14ac:dyDescent="0.25">
      <c r="A36" s="429"/>
      <c r="B36" s="269" t="s">
        <v>146</v>
      </c>
      <c r="C36" s="128" t="s">
        <v>147</v>
      </c>
      <c r="D36" s="128"/>
      <c r="E36" s="305"/>
      <c r="F36" s="130" t="str">
        <f>IF(E36="","",IF(OR('Quantification Tool'!$B$15="French Broad",'Quantification Tool'!$B$15="Hiwassee",'Quantification Tool'!$B$15="Little Tennessee",'Quantification Tool'!$B$15="New",'Quantification Tool'!$B$15="Watauga"),IF(E36&lt;22,0,IF(E36&gt;=60,1,ROUND(E36*'Performance Standards'!$AK$185+'Performance Standards'!$AK$186,2))),IF(OR('Quantification Tool'!$B$15="Broad",'Quantification Tool'!$B$15="Catawba",'Quantification Tool'!$B$15="Savannah",'Quantification Tool'!$B$15="Yadkin-PeeDee"),IF(E36&lt;27,0,IF(E36&gt;=60,1,ROUND(E36^2*'Performance Standards'!$AK$219+E36*'Performance Standards'!$AK$220+'Performance Standards'!$AK$221,2))),IF(OR('Quantification Tool'!$B$15="Cape Fear",'Quantification Tool'!$B$15="Neuse",'Quantification Tool'!$B$15="Roanoke",'Quantification Tool'!$B$15="Tar-Pamlico"),IF(E36&lt;26,0,IF(E36&gt;=60,1,ROUND(E36^2*'Performance Standards'!$AK$253+E36*'Performance Standards'!$AK$254+'Performance Standards'!$AK$255,2)))))))</f>
        <v/>
      </c>
      <c r="G36" s="156" t="str">
        <f>IFERROR(AVERAGE(F36),"")</f>
        <v/>
      </c>
      <c r="H36" s="424"/>
      <c r="I36" s="425"/>
      <c r="J36" s="423"/>
      <c r="K36" s="423"/>
      <c r="L36" s="21"/>
    </row>
    <row r="37" spans="1:15" x14ac:dyDescent="0.25">
      <c r="J37" s="13"/>
      <c r="K37" s="13"/>
      <c r="L37" s="21"/>
    </row>
    <row r="38" spans="1:15" x14ac:dyDescent="0.25">
      <c r="J38" s="13"/>
      <c r="K38" s="13"/>
      <c r="L38" s="21"/>
    </row>
    <row r="39" spans="1:15" ht="21" x14ac:dyDescent="0.35">
      <c r="A39" s="323" t="s">
        <v>371</v>
      </c>
      <c r="B39" s="324"/>
      <c r="C39" s="325" t="s">
        <v>372</v>
      </c>
      <c r="D39" s="324"/>
      <c r="E39" s="326"/>
      <c r="F39" s="327"/>
      <c r="G39" s="433" t="s">
        <v>18</v>
      </c>
      <c r="H39" s="434"/>
      <c r="I39" s="434"/>
      <c r="J39" s="434"/>
      <c r="K39" s="435"/>
      <c r="L39" s="21"/>
    </row>
    <row r="40" spans="1:15" ht="15.75" x14ac:dyDescent="0.25">
      <c r="A40" s="271" t="s">
        <v>1</v>
      </c>
      <c r="B40" s="271" t="s">
        <v>2</v>
      </c>
      <c r="C40" s="462" t="s">
        <v>3</v>
      </c>
      <c r="D40" s="464"/>
      <c r="E40" s="271" t="s">
        <v>15</v>
      </c>
      <c r="F40" s="271" t="s">
        <v>16</v>
      </c>
      <c r="G40" s="271" t="s">
        <v>19</v>
      </c>
      <c r="H40" s="271" t="s">
        <v>20</v>
      </c>
      <c r="I40" s="271" t="s">
        <v>20</v>
      </c>
      <c r="J40" s="271" t="s">
        <v>21</v>
      </c>
      <c r="K40" s="95" t="s">
        <v>21</v>
      </c>
    </row>
    <row r="41" spans="1:15" ht="15.75" x14ac:dyDescent="0.25">
      <c r="A41" s="447" t="s">
        <v>78</v>
      </c>
      <c r="B41" s="270" t="s">
        <v>177</v>
      </c>
      <c r="C41" s="257" t="s">
        <v>329</v>
      </c>
      <c r="D41" s="97"/>
      <c r="E41" s="253"/>
      <c r="F41" s="260" t="str">
        <f>IF(E41="","",IF(E41&gt;78,0,IF(E41&lt;30,1,ROUND('Performance Standards'!C$14*E41^2+'Performance Standards'!C$15*E41+'Performance Standards'!C$16,2))))</f>
        <v/>
      </c>
      <c r="G41" s="157" t="str">
        <f>IFERROR(AVERAGE(F41),"")</f>
        <v/>
      </c>
      <c r="H41" s="492" t="str">
        <f>IFERROR(ROUND(AVERAGE(G41:G44),2),"")</f>
        <v/>
      </c>
      <c r="I41" s="425" t="str">
        <f>IF(H41="","",IF(H41&gt;0.69,"Functioning",IF(H41&gt;0.29,"Functioning At Risk",IF(H41&gt;-1,"Not Functioning"))))</f>
        <v/>
      </c>
      <c r="J41" s="423" t="str">
        <f>IF(AND(H41="",H45="",H47="",H66="",H72=""),"",ROUND((IF(H41="",0,H41)*0.2)+(IF(H45="",0,H45)*0.2)+(IF(H47="",0,H47)*0.2)+(IF(H66="",0,H66)*0.2)+(IF(H72="",0,H72)*0.2),2))</f>
        <v/>
      </c>
      <c r="K41" s="423" t="str">
        <f>IF(J41="","",IF(J41&lt;0.3, "Not Functioning",IF(OR(H41&lt;0.7,H45&lt;0.7,H47&lt;0.7,H66&lt;0.7,H72&lt;0.7),"Functioning At Risk",IF(J41&lt;0.7,"Functioning At Risk","Functioning"))))</f>
        <v/>
      </c>
    </row>
    <row r="42" spans="1:15" ht="15.75" x14ac:dyDescent="0.25">
      <c r="A42" s="448"/>
      <c r="B42" s="489" t="s">
        <v>328</v>
      </c>
      <c r="C42" s="257" t="s">
        <v>329</v>
      </c>
      <c r="D42" s="256"/>
      <c r="E42" s="253"/>
      <c r="F42" s="260" t="str">
        <f>IF(E42="","",IF(E42&gt;78,0,IF(E42&lt;30,1,ROUND('Performance Standards'!C$14*E42^2+'Performance Standards'!C$15*E42+'Performance Standards'!C$16,2))))</f>
        <v/>
      </c>
      <c r="G42" s="486" t="str">
        <f>IFERROR(AVERAGE(F42:F44),"")</f>
        <v/>
      </c>
      <c r="H42" s="493"/>
      <c r="I42" s="425"/>
      <c r="J42" s="423"/>
      <c r="K42" s="423"/>
    </row>
    <row r="43" spans="1:15" ht="15.75" x14ac:dyDescent="0.25">
      <c r="A43" s="448"/>
      <c r="B43" s="490"/>
      <c r="C43" s="258" t="s">
        <v>330</v>
      </c>
      <c r="D43" s="97"/>
      <c r="E43" s="304"/>
      <c r="F43" s="98" t="str">
        <f>IF(E43="","",IF(E43&gt;3,0,IF(E43=0,1,ROUND('Performance Standards'!C$48*E43+'Performance Standards'!C$49,2))))</f>
        <v/>
      </c>
      <c r="G43" s="487"/>
      <c r="H43" s="493"/>
      <c r="I43" s="425"/>
      <c r="J43" s="423"/>
      <c r="K43" s="423"/>
    </row>
    <row r="44" spans="1:15" ht="15.75" x14ac:dyDescent="0.25">
      <c r="A44" s="448"/>
      <c r="B44" s="491"/>
      <c r="C44" s="259" t="s">
        <v>331</v>
      </c>
      <c r="D44" s="101"/>
      <c r="E44" s="305"/>
      <c r="F44" s="255" t="str">
        <f>IF(E44="","",IF(E44&gt;=30,1,ROUND('Performance Standards'!$C$83*E44^2+'Performance Standards'!$C$84*E44+'Performance Standards'!$C$85,2)))</f>
        <v/>
      </c>
      <c r="G44" s="488"/>
      <c r="H44" s="493"/>
      <c r="I44" s="425"/>
      <c r="J44" s="423"/>
      <c r="K44" s="423"/>
    </row>
    <row r="45" spans="1:15" ht="15.75" x14ac:dyDescent="0.25">
      <c r="A45" s="445" t="s">
        <v>6</v>
      </c>
      <c r="B45" s="445" t="s">
        <v>7</v>
      </c>
      <c r="C45" s="102" t="s">
        <v>8</v>
      </c>
      <c r="D45" s="102"/>
      <c r="E45" s="304"/>
      <c r="F45" s="103" t="str">
        <f>IF(E45="","",ROUND(IF(E45&gt;1.6,0,IF(E45&lt;=1,1,E45^2*'Performance Standards'!K$14+E45*'Performance Standards'!K$15+'Performance Standards'!K$16)),2))</f>
        <v/>
      </c>
      <c r="G45" s="449" t="str">
        <f>IFERROR(AVERAGE(F45:F46),"")</f>
        <v/>
      </c>
      <c r="H45" s="449" t="str">
        <f>IFERROR(ROUND(AVERAGE(G45),2),"")</f>
        <v/>
      </c>
      <c r="I45" s="436" t="str">
        <f>IF(H45="","",IF(H45&gt;0.69,"Functioning",IF(H45&gt;0.29,"Functioning At Risk",IF(H45&gt;-1,"Not Functioning"))))</f>
        <v/>
      </c>
      <c r="J45" s="423"/>
      <c r="K45" s="423"/>
    </row>
    <row r="46" spans="1:15" ht="15.75" x14ac:dyDescent="0.25">
      <c r="A46" s="446"/>
      <c r="B46" s="446"/>
      <c r="C46" s="104" t="s">
        <v>9</v>
      </c>
      <c r="D46" s="104"/>
      <c r="E46" s="305"/>
      <c r="F46" s="105" t="str">
        <f>IF(E46="","",IF(OR('Quantification Tool'!B$7="A",'Quantification Tool'!B$7="B", 'Quantification Tool'!B$7="Bc"),IF(E46&lt;1.2,0,IF(E46&gt;=2.2,1,ROUND(IF(E46&lt;1.4,E46*'Performance Standards'!$K$84+'Performance Standards'!$K$85,E46*'Performance Standards'!$L$84+'Performance Standards'!$L$85),2))),IF(OR('Quantification Tool'!B$7="C",'Quantification Tool'!B$7="E"),IF(E46&lt;2,0,IF(E46&gt;=5,1,ROUND(IF(E46&lt;2.4,E46*'Performance Standards'!$L$49+'Performance Standards'!$L$50,E46*'Performance Standards'!$K$49+'Performance Standards'!$K$50),2))))))</f>
        <v/>
      </c>
      <c r="G46" s="450"/>
      <c r="H46" s="450"/>
      <c r="I46" s="437"/>
      <c r="J46" s="423"/>
      <c r="K46" s="423"/>
    </row>
    <row r="47" spans="1:15" ht="15.75" x14ac:dyDescent="0.25">
      <c r="A47" s="439" t="s">
        <v>30</v>
      </c>
      <c r="B47" s="439" t="s">
        <v>31</v>
      </c>
      <c r="C47" s="111" t="s">
        <v>27</v>
      </c>
      <c r="D47" s="318"/>
      <c r="E47" s="253"/>
      <c r="F47" s="132" t="str">
        <f>IF(E47="","",IF(E47&gt;700,1,IF(E47&lt;300,ROUND('Performance Standards'!$S$14*(E47^2)+'Performance Standards'!$S$15*E47+'Performance Standards'!$S$16,2),ROUND('Performance Standards'!$T$15*E47+'Performance Standards'!$T$16,2))))</f>
        <v/>
      </c>
      <c r="G47" s="441" t="str">
        <f>IFERROR(AVERAGE(F47:F48),"")</f>
        <v/>
      </c>
      <c r="H47" s="438" t="str">
        <f>IFERROR(ROUND(AVERAGE(G47:G65),2),"")</f>
        <v/>
      </c>
      <c r="I47" s="423" t="str">
        <f>IF(H47="","",IF(H47&gt;0.69,"Functioning",IF(H47&gt;0.29,"Functioning At Risk",IF(H47&gt;-1,"Not Functioning"))))</f>
        <v/>
      </c>
      <c r="J47" s="423"/>
      <c r="K47" s="423"/>
    </row>
    <row r="48" spans="1:15" ht="15.75" x14ac:dyDescent="0.25">
      <c r="A48" s="443"/>
      <c r="B48" s="440"/>
      <c r="C48" s="113" t="s">
        <v>369</v>
      </c>
      <c r="D48" s="317"/>
      <c r="E48" s="305"/>
      <c r="F48" s="319" t="str">
        <f>IF(E48="","",IF(E48&gt;30,1,IF(E48&lt;16,ROUND('Performance Standards'!$S$48*(E48^2)+'Performance Standards'!$S$49*E48+'Performance Standards'!$S$50,2),ROUND('Performance Standards'!$T$49*E48+'Performance Standards'!$T$50,2))))</f>
        <v/>
      </c>
      <c r="G48" s="442"/>
      <c r="H48" s="438"/>
      <c r="I48" s="423"/>
      <c r="J48" s="423"/>
      <c r="K48" s="423"/>
    </row>
    <row r="49" spans="1:13" ht="15.75" x14ac:dyDescent="0.25">
      <c r="A49" s="443"/>
      <c r="B49" s="443" t="s">
        <v>54</v>
      </c>
      <c r="C49" s="111" t="s">
        <v>156</v>
      </c>
      <c r="D49" s="114"/>
      <c r="E49" s="253"/>
      <c r="F49" s="109" t="str">
        <f>IF(E49="","",ROUND(IF(E49&gt;0.7,0,IF(E49&lt;=0.1,1,E49^3*'Performance Standards'!S$83+E49^2*'Performance Standards'!S$84+E49*'Performance Standards'!S$85+'Performance Standards'!S$86)),2))</f>
        <v/>
      </c>
      <c r="G49" s="444" t="str">
        <f>IFERROR(IF(E49="",AVERAGE(F50:F51),IF(E50="",F49,MIN(F49,AVERAGE(F50:F51)))),"")</f>
        <v/>
      </c>
      <c r="H49" s="438"/>
      <c r="I49" s="423"/>
      <c r="J49" s="423"/>
      <c r="K49" s="423"/>
    </row>
    <row r="50" spans="1:13" ht="15.75" x14ac:dyDescent="0.25">
      <c r="A50" s="443"/>
      <c r="B50" s="443"/>
      <c r="C50" s="112" t="s">
        <v>55</v>
      </c>
      <c r="D50" s="108"/>
      <c r="E50" s="304"/>
      <c r="F50" s="109" t="str">
        <f>IF(E50="","",IF(OR(E50="Ex/Ex",E50="Ex/VH"),0, IF(OR(E50="Ex/H",E50="VH/Ex",E50="VH/VH", E50="H/Ex",E50="H/VH",E50="M/Ex"),0.1,IF(OR(E50="Ex/M",E50="VH/H",E50="H/H", E50="M/VH"),0.2, IF(OR(E50="Ex/L",E50="VH/M",E50="H/M", E50="M/H",E50="L/Ex"),0.3, IF(OR(E50="Ex/VL",E50="VH/L",E50="H/L"),0.4, IF(OR(E50="VH/VL",E50="H/VL",E50="M/M", E50="L/VH"),0.5, IF(OR(E50="M/L",E50="L/H"),0.6, IF(OR(E50="M/VL",E50="L/M"),0.7, IF(OR(E50="L/L",E50="L/VL"),1))))))))))</f>
        <v/>
      </c>
      <c r="G50" s="444"/>
      <c r="H50" s="438"/>
      <c r="I50" s="423"/>
      <c r="J50" s="423"/>
      <c r="K50" s="423"/>
    </row>
    <row r="51" spans="1:13" ht="15.75" x14ac:dyDescent="0.25">
      <c r="A51" s="443"/>
      <c r="B51" s="443"/>
      <c r="C51" s="113" t="s">
        <v>192</v>
      </c>
      <c r="D51" s="116"/>
      <c r="E51" s="305"/>
      <c r="F51" s="118" t="str">
        <f>IF(E51="","",ROUND(IF(E51&gt;40,0,IF(E51&lt;5,1,E51^3*'Performance Standards'!S$118+E51^2*'Performance Standards'!S$119+E51*'Performance Standards'!S$120+'Performance Standards'!S$121)),2))</f>
        <v/>
      </c>
      <c r="G51" s="444"/>
      <c r="H51" s="438"/>
      <c r="I51" s="423"/>
      <c r="J51" s="423"/>
      <c r="K51" s="423"/>
    </row>
    <row r="52" spans="1:13" ht="15.75" x14ac:dyDescent="0.25">
      <c r="A52" s="443"/>
      <c r="B52" s="439" t="s">
        <v>56</v>
      </c>
      <c r="C52" s="114" t="s">
        <v>242</v>
      </c>
      <c r="D52" s="114"/>
      <c r="E52" s="253"/>
      <c r="F52" s="132" t="str">
        <f>IF(E52="","",ROUND(IF(E52&gt;90,1,E52^2*'Performance Standards'!S$153+E52*'Performance Standards'!S$154+'Performance Standards'!S$155),2))</f>
        <v/>
      </c>
      <c r="G52" s="441" t="str">
        <f>IFERROR(AVERAGE(F52:F59),"")</f>
        <v/>
      </c>
      <c r="H52" s="438"/>
      <c r="I52" s="423"/>
      <c r="J52" s="423"/>
      <c r="K52" s="423"/>
    </row>
    <row r="53" spans="1:13" ht="15.75" x14ac:dyDescent="0.25">
      <c r="A53" s="443"/>
      <c r="B53" s="443"/>
      <c r="C53" s="108" t="s">
        <v>243</v>
      </c>
      <c r="D53" s="108"/>
      <c r="E53" s="304"/>
      <c r="F53" s="109" t="str">
        <f>IF(E53="","",ROUND(IF(E53&gt;90,1,E53^2*'Performance Standards'!S$153+E53*'Performance Standards'!S$154+'Performance Standards'!S$155),2))</f>
        <v/>
      </c>
      <c r="G53" s="444"/>
      <c r="H53" s="438"/>
      <c r="I53" s="423"/>
      <c r="J53" s="423"/>
      <c r="K53" s="423"/>
    </row>
    <row r="54" spans="1:13" ht="15.75" x14ac:dyDescent="0.25">
      <c r="A54" s="443"/>
      <c r="B54" s="443"/>
      <c r="C54" s="108" t="s">
        <v>170</v>
      </c>
      <c r="D54" s="108"/>
      <c r="E54" s="304"/>
      <c r="F54" s="109" t="str">
        <f>IF(E54="","",ROUND(IF(OR('Quantification Tool'!B$7="A",'Quantification Tool'!B$7="B",'Quantification Tool'!B$7="Bc"),IF(E54&gt;=50,1, IF(E54&lt;30, E54*'Performance Standards'!S$188+'Performance Standards'!S$189, E54*'Performance Standards'!T$188+'Performance Standards'!T$189)), IF(E54&gt;=150,1,IF(E54&lt;48, E54^2*'Performance Standards'!S$222+E54*'Performance Standards'!S$223+'Performance Standards'!S$224, E54*'Performance Standards'!T$223+'Performance Standards'!T$224))),2))</f>
        <v/>
      </c>
      <c r="G54" s="444"/>
      <c r="H54" s="438"/>
      <c r="I54" s="423"/>
      <c r="J54" s="423"/>
      <c r="K54" s="423"/>
    </row>
    <row r="55" spans="1:13" ht="15.75" x14ac:dyDescent="0.25">
      <c r="A55" s="443"/>
      <c r="B55" s="443"/>
      <c r="C55" s="108" t="s">
        <v>171</v>
      </c>
      <c r="D55" s="108"/>
      <c r="E55" s="304"/>
      <c r="F55" s="109" t="str">
        <f>IF(E55="","",ROUND(IF(OR('Quantification Tool'!B$7="A",'Quantification Tool'!B$7="B",'Quantification Tool'!B$7="Bc"),IF(E55&gt;=50,1, IF(E55&lt;30, E55*'Performance Standards'!S$188+'Performance Standards'!S$189, E55*'Performance Standards'!T$188+'Performance Standards'!T$189)), IF(E55&gt;=150,1,IF(E55&lt;48, E55^2*'Performance Standards'!S$222+E55*'Performance Standards'!S$223+'Performance Standards'!S$224, E55*'Performance Standards'!T$223+'Performance Standards'!T$224))),2))</f>
        <v/>
      </c>
      <c r="G55" s="444"/>
      <c r="H55" s="438"/>
      <c r="I55" s="423"/>
      <c r="J55" s="423"/>
      <c r="K55" s="423"/>
    </row>
    <row r="56" spans="1:13" ht="15.75" x14ac:dyDescent="0.25">
      <c r="A56" s="443"/>
      <c r="B56" s="443"/>
      <c r="C56" s="108" t="s">
        <v>251</v>
      </c>
      <c r="D56" s="108"/>
      <c r="E56" s="304"/>
      <c r="F56" s="109" t="str">
        <f>IF(E56="","",ROUND(IF(E56&gt;100,1,E56^2*'Performance Standards'!S$255+E56*'Performance Standards'!S$256+'Performance Standards'!S$257),2))</f>
        <v/>
      </c>
      <c r="G56" s="444"/>
      <c r="H56" s="438"/>
      <c r="I56" s="423"/>
      <c r="J56" s="423"/>
      <c r="K56" s="423"/>
    </row>
    <row r="57" spans="1:13" ht="15.75" x14ac:dyDescent="0.25">
      <c r="A57" s="443"/>
      <c r="B57" s="443"/>
      <c r="C57" s="108" t="s">
        <v>252</v>
      </c>
      <c r="D57" s="108"/>
      <c r="E57" s="304"/>
      <c r="F57" s="109" t="str">
        <f>IF(E57="","",ROUND(IF(E57&gt;100,1,E57^2*'Performance Standards'!S$255+E57*'Performance Standards'!S$256+'Performance Standards'!S$257),2))</f>
        <v/>
      </c>
      <c r="G57" s="444"/>
      <c r="H57" s="438"/>
      <c r="I57" s="423"/>
      <c r="J57" s="423"/>
      <c r="K57" s="423"/>
    </row>
    <row r="58" spans="1:13" ht="15.75" x14ac:dyDescent="0.25">
      <c r="A58" s="443"/>
      <c r="B58" s="443"/>
      <c r="C58" s="112" t="s">
        <v>342</v>
      </c>
      <c r="D58" s="108"/>
      <c r="E58" s="304"/>
      <c r="F58" s="109" t="str">
        <f>IF(E58="","",ROUND(IF(E58&gt;=260,0.5,E58*'Performance Standards'!S$288+'Performance Standards'!S$289),2))</f>
        <v/>
      </c>
      <c r="G58" s="444"/>
      <c r="H58" s="438"/>
      <c r="I58" s="423"/>
      <c r="J58" s="423"/>
      <c r="K58" s="423"/>
      <c r="M58" s="21"/>
    </row>
    <row r="59" spans="1:13" ht="15.75" x14ac:dyDescent="0.25">
      <c r="A59" s="443"/>
      <c r="B59" s="440"/>
      <c r="C59" s="113" t="s">
        <v>343</v>
      </c>
      <c r="D59" s="108"/>
      <c r="E59" s="304"/>
      <c r="F59" s="219" t="str">
        <f>IF(E59="","",ROUND(IF(E59&gt;=260,0.5,E59*'Performance Standards'!S$288+'Performance Standards'!S$289),2))</f>
        <v/>
      </c>
      <c r="G59" s="442"/>
      <c r="H59" s="438"/>
      <c r="I59" s="423"/>
      <c r="J59" s="423"/>
      <c r="K59" s="423"/>
    </row>
    <row r="60" spans="1:13" ht="15.75" x14ac:dyDescent="0.25">
      <c r="A60" s="443"/>
      <c r="B60" s="106" t="s">
        <v>254</v>
      </c>
      <c r="C60" s="131" t="s">
        <v>345</v>
      </c>
      <c r="D60" s="107"/>
      <c r="E60" s="87"/>
      <c r="F60" s="109" t="str">
        <f>IF(E60="","",IF('Quantification Tool'!B$10="Gravel",IF(E60&gt;0.1,1,IF(E60&lt;=0.01,0,ROUND(E60*'Performance Standards'!$S$323+'Performance Standards'!$S$324,2)))))</f>
        <v/>
      </c>
      <c r="G60" s="155" t="str">
        <f>IFERROR(AVERAGE(F60),"")</f>
        <v/>
      </c>
      <c r="H60" s="438"/>
      <c r="I60" s="423"/>
      <c r="J60" s="423"/>
      <c r="K60" s="423"/>
    </row>
    <row r="61" spans="1:13" ht="15.75" x14ac:dyDescent="0.25">
      <c r="A61" s="443"/>
      <c r="B61" s="439" t="s">
        <v>57</v>
      </c>
      <c r="C61" s="111" t="s">
        <v>58</v>
      </c>
      <c r="D61" s="114"/>
      <c r="E61" s="253"/>
      <c r="F61" s="310" t="str">
        <f>IF(E61="","",IF('Quantification Tool'!B$13&gt;=4,IF(AND(E61&lt;=5,E61&gt;=0.1),1,IF(OR(E61&lt;0.1,E61&gt;8),0,ROUND(E61*'Performance Standards'!$S$357+'Performance Standards'!$S$358,2))), IF(AND('Quantification Tool'!B$9&gt;=10,OR('Quantification Tool'!B$7="C",'Quantification Tool'!B$7="E")),IF(OR(E61&lt;3,E61&gt;8),0,IF(AND(E61&gt;=4,E61&lt;=7),1,ROUND(E61^2*'Performance Standards'!$S$389+E61*'Performance Standards'!$S$390+'Performance Standards'!$S$391,2))),  IF(AND('Quantification Tool'!B$9&lt;10,OR('Quantification Tool'!B$7="C",'Quantification Tool'!B$7="E")),IF(OR(E61&lt;3,E61&gt;7),0,IF(E61&lt;4,ROUND(E61*'Performance Standards'!$S$423+'Performance Standards'!$S$424,2), IF(E61&gt;5, ROUND(E61*'Performance Standards'!$T$423+'Performance Standards'!T$424,2),1))),IF(OR(AND('Quantification Tool'!B$13&lt;2,'Quantification Tool'!B$7="Bc"),AND('Quantification Tool'!B$13&gt;=2,'Quantification Tool'!B$13&lt;=4,'Quantification Tool'!B$7="B")),ROUND(IF(E61&gt;8,0,IF(E61&lt;=0.6,1,E61^2*'Performance Standards'!$S$455+E61*'Performance Standards'!$S$456+'Performance Standards'!$S$457)),2))))))</f>
        <v/>
      </c>
      <c r="G61" s="441" t="str">
        <f>IFERROR(AVERAGE(F61:F64),"")</f>
        <v/>
      </c>
      <c r="H61" s="438"/>
      <c r="I61" s="423"/>
      <c r="J61" s="423"/>
      <c r="K61" s="423"/>
    </row>
    <row r="62" spans="1:13" ht="15.75" x14ac:dyDescent="0.25">
      <c r="A62" s="443"/>
      <c r="B62" s="443"/>
      <c r="C62" s="112" t="s">
        <v>59</v>
      </c>
      <c r="D62" s="108"/>
      <c r="E62" s="304"/>
      <c r="F62" s="311" t="str">
        <f>IF(E62="","",IF(E62&lt;=1.1,0,IF(OR('Quantification Tool'!B$7="A", 'Quantification Tool'!B$7="B", 'Quantification Tool'!B$7="Bc"),IF(E62&gt;1.74,1,ROUND(IF(E62&lt;1.2,E62*'Performance Standards'!S$556+'Performance Standards'!S$557,E62*'Performance Standards'!T$556+'Performance Standards'!T$557),2)),IF(OR('Quantification Tool'!B$7="C", 'Quantification Tool'!B$7="E"),IF('Quantification Tool'!B$10="Gravel",IF(E62&gt;1.74,1,ROUND(IF(E62&lt;1.2,E62*'Performance Standards'!S$489+'Performance Standards'!S$490,E62*'Performance Standards'!T$489+'Performance Standards'!T$490),2)),IF('Quantification Tool'!B$10="Sand",IF(E62&gt;=1.25,1,ROUND(E62^2*'Performance Standards'!S$521+E62*'Performance Standards'!S$522+'Performance Standards'!S$523,2))))))))</f>
        <v/>
      </c>
      <c r="G62" s="444"/>
      <c r="H62" s="438"/>
      <c r="I62" s="423"/>
      <c r="J62" s="423"/>
      <c r="K62" s="423"/>
    </row>
    <row r="63" spans="1:13" ht="15.75" x14ac:dyDescent="0.25">
      <c r="A63" s="443"/>
      <c r="B63" s="443"/>
      <c r="C63" s="112" t="s">
        <v>62</v>
      </c>
      <c r="D63" s="108"/>
      <c r="E63" s="304"/>
      <c r="F63" s="312" t="str">
        <f>IF(E63="","",IF('Quantification Tool'!B$13="","Need Slope",IF('Quantification Tool'!B$13&lt;3,ROUND(IF(OR(E63&gt;83,E63&lt;32),0, IF(E63&lt;60,E63*'Performance Standards'!S$591+'Performance Standards'!S$592,IF(E63&gt;70,E63^2*'Performance Standards'!T$590+E63*'Performance Standards'!T$591+'Performance Standards'!T$592,1))),2),IF('Quantification Tool'!B$13&gt;10,ROUND(IF(E63&gt;=80,1,IF(E63&lt;67,0,E63^2*'Performance Standards'!S$657+E63*'Performance Standards'!S$658+'Performance Standards'!S$659)),2),IF(OR(E63&gt;76, E63&lt;34),0,IF(AND(E63&gt;49,E63&lt;61),1,ROUND(IF(E63&lt;50,E63*'Performance Standards'!S$625+'Performance Standards'!S$626,E63*'Performance Standards'!T$625+'Performance Standards'!T$626),2)))))))</f>
        <v/>
      </c>
      <c r="G63" s="444"/>
      <c r="H63" s="438"/>
      <c r="I63" s="423"/>
      <c r="J63" s="423"/>
      <c r="K63" s="423"/>
    </row>
    <row r="64" spans="1:13" ht="15.75" x14ac:dyDescent="0.25">
      <c r="A64" s="443"/>
      <c r="B64" s="440"/>
      <c r="C64" s="116" t="s">
        <v>363</v>
      </c>
      <c r="D64" s="116"/>
      <c r="E64" s="305"/>
      <c r="F64" s="117" t="str">
        <f>IF(E64="","",IF(E64&gt;=1.6,0,IF(E64&lt;=1,1,ROUND('Performance Standards'!$S$689*E64^3+'Performance Standards'!$S$690*E64^2+'Performance Standards'!$S$691*E64+'Performance Standards'!$S$692,2))))</f>
        <v/>
      </c>
      <c r="G64" s="442"/>
      <c r="H64" s="438"/>
      <c r="I64" s="423"/>
      <c r="J64" s="423"/>
      <c r="K64" s="423"/>
    </row>
    <row r="65" spans="1:12" ht="15.75" x14ac:dyDescent="0.25">
      <c r="A65" s="440"/>
      <c r="B65" s="320" t="s">
        <v>64</v>
      </c>
      <c r="C65" s="116" t="s">
        <v>63</v>
      </c>
      <c r="D65" s="116"/>
      <c r="E65" s="305"/>
      <c r="F65" s="118" t="str">
        <f>IF(E65="","",IF(AND('Quantification Tool'!B$7="E",'Quantification Tool'!$B$10="Sand",'Quantification Tool'!$B$18="Unconfined Alluvial"),ROUND(IF(OR(E65&gt;1.8,E65&lt;1.3),0,IF(E65&lt;=1.6,1,E65*'Performance Standards'!$S$723+'Performance Standards'!$S$724)),2),    IF('Quantification Tool'!$B$18="Unconfined Alluvial",ROUND(IF(OR(E65&lt;1.2, E65&gt;1.5),0,IF(E65&lt;=1.4,1,E65*'Performance Standards'!$S$756+'Performance Standards'!$S$757)),2), IF('Quantification Tool'!$B$18="Confined Alluvial",ROUND(IF(E65&lt;1.15,0,IF(E65&lt;=1.4,E65*'Performance Standards'!$S$785+'Performance Standards'!$S$786,1)),2),  IF('Quantification Tool'!$B$18="Colluvial",ROUND(IF(E65&gt;1.3,0,IF(E65&gt;1.2,E65*'Performance Standards'!$S$815+'Performance Standards'!$S$816,1)),2) )))))</f>
        <v/>
      </c>
      <c r="G65" s="158" t="str">
        <f>IFERROR(AVERAGE(F65),"")</f>
        <v/>
      </c>
      <c r="H65" s="438"/>
      <c r="I65" s="423"/>
      <c r="J65" s="423"/>
      <c r="K65" s="423"/>
      <c r="L65" s="13"/>
    </row>
    <row r="66" spans="1:12" ht="15.75" x14ac:dyDescent="0.25">
      <c r="A66" s="431" t="s">
        <v>68</v>
      </c>
      <c r="B66" s="122" t="s">
        <v>161</v>
      </c>
      <c r="C66" s="133" t="s">
        <v>438</v>
      </c>
      <c r="D66" s="123"/>
      <c r="E66" s="87"/>
      <c r="F66" s="124" t="str">
        <f>IF(E66="","",IF('Quantification Tool'!$B$16="Coldwater",IF(E66&gt;77,0,IF(E66&lt;59,1,ROUND(E66*'Performance Standards'!$AB$15+'Performance Standards'!$AB$16,2))),IF('Quantification Tool'!$B$16="Coolwater",IF(E66&gt;97,0,IF(E66&lt;67,1,ROUND(E66*'Performance Standards'!$AC$15+'Performance Standards'!$AC$16,2))))))</f>
        <v/>
      </c>
      <c r="G66" s="159" t="str">
        <f>IFERROR(AVERAGE(F66),"")</f>
        <v/>
      </c>
      <c r="H66" s="426" t="str">
        <f>IFERROR(ROUND(AVERAGE(G66:G71),2),"")</f>
        <v/>
      </c>
      <c r="I66" s="425" t="str">
        <f>IF(H66="","",IF(H66&gt;0.69,"Functioning",IF(H66&gt;0.29,"Functioning At Risk",IF(H66&gt;-1,"Not Functioning"))))</f>
        <v/>
      </c>
      <c r="J66" s="423"/>
      <c r="K66" s="423"/>
      <c r="L66" s="13"/>
    </row>
    <row r="67" spans="1:12" ht="15.75" x14ac:dyDescent="0.25">
      <c r="A67" s="430"/>
      <c r="B67" s="268" t="s">
        <v>194</v>
      </c>
      <c r="C67" s="127" t="s">
        <v>197</v>
      </c>
      <c r="D67" s="120"/>
      <c r="E67" s="304"/>
      <c r="F67" s="121" t="str">
        <f>IF(E67="","",ROUND(IF(E67&gt;=284,0,E67*'Performance Standards'!AB$116+'Performance Standards'!AB$117),2))</f>
        <v/>
      </c>
      <c r="G67" s="159" t="str">
        <f>IFERROR(AVERAGE(F67),"")</f>
        <v/>
      </c>
      <c r="H67" s="426"/>
      <c r="I67" s="425"/>
      <c r="J67" s="423"/>
      <c r="K67" s="423"/>
      <c r="L67" s="21"/>
    </row>
    <row r="68" spans="1:12" ht="15.75" x14ac:dyDescent="0.25">
      <c r="A68" s="430"/>
      <c r="B68" s="430" t="s">
        <v>195</v>
      </c>
      <c r="C68" s="263" t="s">
        <v>92</v>
      </c>
      <c r="D68" s="215"/>
      <c r="E68" s="253"/>
      <c r="F68" s="134" t="str">
        <f>IF(E68="","",IF(OR(E68&lt;0.5,E68&gt;2), 0, ROUND(IF(E68&lt;0.75, E68*'Performance Standards'!$AB$153+'Performance Standards'!$AB$154, IF(E68&lt;=1.33, E68*'Performance Standards'!$AC$153+'Performance Standards'!$AC$154,E68*'Performance Standards'!$AD$153+'Performance Standards'!$AD$154)),2)))</f>
        <v/>
      </c>
      <c r="G68" s="456" t="str">
        <f>IFERROR(AVERAGE(F68:F69),"")</f>
        <v/>
      </c>
      <c r="H68" s="426"/>
      <c r="I68" s="425"/>
      <c r="J68" s="423"/>
      <c r="K68" s="423"/>
      <c r="L68" s="21"/>
    </row>
    <row r="69" spans="1:12" ht="15.75" x14ac:dyDescent="0.25">
      <c r="A69" s="430"/>
      <c r="B69" s="430"/>
      <c r="C69" s="135" t="s">
        <v>193</v>
      </c>
      <c r="D69" s="127"/>
      <c r="E69" s="305"/>
      <c r="F69" s="121" t="str">
        <f>IF(E69="","",IF('Quantification Tool'!$B$8 = "Mountains", IF('Quantification Tool'!$B$9 &lt;=5, IF( 'Quantification Tool'!$B$17= "Winter/Spring", ROUND(IF(E69&gt;=23,1,E69*'Performance Standards'!$AB$188+'Performance Standards'!$AB$189),2), IF('Quantification Tool'!$B$17= "Summer", ROUND(IF(E69&gt;=21,1,E69*'Performance Standards'!$AC$188),2), IF('Quantification Tool'!$B$17= "Fall", ROUND(IF(E69&gt;=18,1,E69*'Performance Standards'!$AD$188),2)))), IF('Quantification Tool'!$B$9&lt;10, IF('Quantification Tool'!$B$17= "Winter/Spring", ROUND(IF(E69&gt;16,1,E69*'Performance Standards'!$AB$222),2),IF('Quantification Tool'!$B$17= "Summer",ROUND(IF(E69&gt;14,1,E69*'Performance Standards'!$AC$222),2), IF('Quantification Tool'!$B$17= "Fall",ROUND(IF(E69&gt;12,1,E69*'Performance Standards'!$AD$222),2)))), IF('Quantification Tool'!$B$17= "Winter/Spring", ROUND(IF(E69&gt;14,1,E69*'Performance Standards'!$AB$256),2),IF('Quantification Tool'!$B$17= "Summer",ROUND(IF(E69&gt;16,1,E69*'Performance Standards'!$AC$256),2), IF('Quantification Tool'!$B$17= "Fall",ROUND(IF(E69&gt;15,1,E69*'Performance Standards'!$AD$256),2)))))), IF('Quantification Tool'!$B$8 = "Piedmont",  IF('Quantification Tool'!$B$9 &lt;=5, IF( 'Quantification Tool'!$B$17= "Winter/Spring", ROUND(IF(E69&gt;=18,1,E69*'Performance Standards'!$AB$290),2), IF('Quantification Tool'!$B$17= "Summer", ROUND(IF(E69&gt;=12,1,E69*'Performance Standards'!$AC$290),2), IF('Quantification Tool'!$B$17= "Fall", ROUND(IF(E69&gt;=14,1,E69*'Performance Standards'!$AD$290),2)))), IF('Quantification Tool'!$B$9&lt;10, IF('Quantification Tool'!$B$17= "Winter/Spring", ROUND(IF(E69&gt;12,1,E69*'Performance Standards'!$AB$326),2),IF('Quantification Tool'!$B$17= "Summer",ROUND(IF(E69&gt;5,1,E69*'Performance Standards'!$AC$326),2), IF('Quantification Tool'!$B$17= "Fall",ROUND(IF(E69&gt;8,1,E69*'Performance Standards'!$AD$326),2)))), IF('Quantification Tool'!$B$17= "Winter/Spring", ROUND(IF(E69&gt;8,1,E69*'Performance Standards'!$AB$360),2),IF('Quantification Tool'!$B$17= "Summer",ROUND(IF(E69&gt;7,1,E69*'Performance Standards'!$AC$360),2), IF('Quantification Tool'!$B$17= "Fall",ROUND(IF(E69&gt;8,1,E69*'Performance Standards'!$AD$360),2)))))),IF('Quantification Tool'!$B$8 = "Coastal Plain", IF('Quantification Tool'!$B$9 &lt;=5, IF( 'Quantification Tool'!$B$17= "Winter/Spring", ROUND(IF(E69&gt;=33,1,E69*'Performance Standards'!$AB$392),2), IF('Quantification Tool'!$B$17= "Summer", ROUND(IF(E69&gt;=14,1,E69*'Performance Standards'!$AC$392),2), IF('Quantification Tool'!$B$17= "Fall", ROUND(IF(E69&gt;=25,1,E69*'Performance Standards'!$AD$392),2)))), IF('Quantification Tool'!$B$9&lt;10, IF('Quantification Tool'!$B$17= "Winter/Spring", ROUND(IF(E69&gt;20,1,E69*'Performance Standards'!$AB$424),2),IF('Quantification Tool'!$B$17= "Summer",ROUND(IF(E69&gt;13,1,E69*'Performance Standards'!$AC$424),2), IF('Quantification Tool'!$B$17= "Fall",ROUND(IF(E69&gt;12,1,E69*'Performance Standards'!$AD$424),2)))), IF('Quantification Tool'!$B$17= "Winter/Spring", ROUND(IF(E69&gt;17,1,E69*'Performance Standards'!$AB$458),2),IF('Quantification Tool'!$B$17= "Summer",ROUND(IF(E69&gt;16,1,E69*'Performance Standards'!$AC$458),2), IF('Quantification Tool'!$B$17= "Fall",ROUND(IF(E69&gt;8,1,E69*'Performance Standards'!$AD$458),2))))))))))</f>
        <v/>
      </c>
      <c r="G69" s="457"/>
      <c r="H69" s="426"/>
      <c r="I69" s="425"/>
      <c r="J69" s="423"/>
      <c r="K69" s="423"/>
      <c r="L69" s="21"/>
    </row>
    <row r="70" spans="1:12" ht="15.75" x14ac:dyDescent="0.25">
      <c r="A70" s="430"/>
      <c r="B70" s="122" t="s">
        <v>162</v>
      </c>
      <c r="C70" s="377" t="s">
        <v>446</v>
      </c>
      <c r="D70" s="378"/>
      <c r="E70" s="304"/>
      <c r="F70" s="125" t="str">
        <f>IF(E70="","",IF(E70&gt;4,0,ROUND(E70^2*'Performance Standards'!$AB$488+E70*'Performance Standards'!$AB$489+'Performance Standards'!$AB$490,2)))</f>
        <v/>
      </c>
      <c r="G70" s="161" t="str">
        <f>IFERROR(AVERAGE(F70),"")</f>
        <v/>
      </c>
      <c r="H70" s="426"/>
      <c r="I70" s="425"/>
      <c r="J70" s="423"/>
      <c r="K70" s="423"/>
      <c r="L70" s="21"/>
    </row>
    <row r="71" spans="1:12" ht="15.75" x14ac:dyDescent="0.25">
      <c r="A71" s="432"/>
      <c r="B71" s="268" t="s">
        <v>163</v>
      </c>
      <c r="C71" s="377" t="s">
        <v>447</v>
      </c>
      <c r="D71" s="378"/>
      <c r="E71" s="253"/>
      <c r="F71" s="121" t="str">
        <f>IF(E71="","",IF(E71&gt;0.23,0,ROUND(E71^2*'Performance Standards'!$AB$521+E71*'Performance Standards'!$AB$522+'Performance Standards'!$AB$523,2)))</f>
        <v/>
      </c>
      <c r="G71" s="159" t="str">
        <f>IFERROR(AVERAGE(F71),"")</f>
        <v/>
      </c>
      <c r="H71" s="426"/>
      <c r="I71" s="425"/>
      <c r="J71" s="423"/>
      <c r="K71" s="423"/>
      <c r="L71" s="21"/>
    </row>
    <row r="72" spans="1:12" ht="15.75" x14ac:dyDescent="0.25">
      <c r="A72" s="427" t="s">
        <v>70</v>
      </c>
      <c r="B72" s="451" t="s">
        <v>93</v>
      </c>
      <c r="C72" s="226" t="s">
        <v>253</v>
      </c>
      <c r="D72" s="227"/>
      <c r="E72" s="253"/>
      <c r="F72" s="228" t="str">
        <f>IF(E72="","",IF('Quantification Tool'!B$8="Mountains",IF(E72&gt;6.52,0,IF(E72&lt;3.3,1,ROUND(IF(E72&gt;5.62,E72*'Performance Standards'!AL$15+'Performance Standards'!AL$16, E72^2*'Performance Standards'!AK$15+E72*'Performance Standards'!AK$16+'Performance Standards'!AK$17),2))),IF('Quantification Tool'!B$8="Piedmont",IF(E72&gt;6.91,0, IF(E72&lt;4.31,1, ROUND(IF(E72&gt;5.85, E72*'Performance Standards'!$AL$49+'Performance Standards'!$AL$50, E72^2*'Performance Standards'!AK$49+E72*'Performance Standards'!AK$50+'Performance Standards'!AK$51),2))))))</f>
        <v/>
      </c>
      <c r="G72" s="460" t="str">
        <f>IFERROR(AVERAGE(F72:F73),"")</f>
        <v/>
      </c>
      <c r="H72" s="424" t="str">
        <f>IFERROR(ROUND(AVERAGE(G72:G74),2),"")</f>
        <v/>
      </c>
      <c r="I72" s="425" t="str">
        <f>IF(H72="","",IF(H72&gt;0.69,"Functioning",IF(H72&gt;0.29,"Functioning At Risk",IF(H72&gt;-1,"Not Functioning"))))</f>
        <v/>
      </c>
      <c r="J72" s="423"/>
      <c r="K72" s="423"/>
      <c r="L72" s="21"/>
    </row>
    <row r="73" spans="1:12" ht="15.75" x14ac:dyDescent="0.25">
      <c r="A73" s="428"/>
      <c r="B73" s="452"/>
      <c r="C73" s="229" t="s">
        <v>264</v>
      </c>
      <c r="D73" s="128"/>
      <c r="E73" s="305"/>
      <c r="F73" s="230" t="str">
        <f>IF(E73="","",ROUND(IF('Quantification Tool'!B$8="Mountains", IF(E73&lt;11,0,IF(E73&gt;35,1,E73^3*'Performance Standards'!AK$83+E73^2*'Performance Standards'!AK$84+E73*'Performance Standards'!AK$85+'Performance Standards'!AK$86)),IF('Quantification Tool'!B$8 = "Piedmont", IF(E73&lt;7,0,IF(E73&gt;27,1,E73^3*'Performance Standards'!AK$116+E73^2*'Performance Standards'!AK$117+E73*'Performance Standards'!AK$118+'Performance Standards'!AK$119)), IF('Quantification Tool'!B$8="Coastal Plain",IF(E73&lt;6,0,IF(E73&gt;23,1,E73^3*'Performance Standards'!AK$151+E73^2*'Performance Standards'!AK$152+E73*'Performance Standards'!AK$153+'Performance Standards'!AK$154))))),2))</f>
        <v/>
      </c>
      <c r="G73" s="461"/>
      <c r="H73" s="424"/>
      <c r="I73" s="425"/>
      <c r="J73" s="423"/>
      <c r="K73" s="423"/>
      <c r="L73" s="21"/>
    </row>
    <row r="74" spans="1:12" ht="15.75" x14ac:dyDescent="0.25">
      <c r="A74" s="429"/>
      <c r="B74" s="269" t="s">
        <v>146</v>
      </c>
      <c r="C74" s="128" t="s">
        <v>147</v>
      </c>
      <c r="D74" s="128"/>
      <c r="E74" s="305"/>
      <c r="F74" s="130" t="str">
        <f>IF(E74="","",IF(OR('Quantification Tool'!$B$15="French Broad",'Quantification Tool'!$B$15="Hiwassee",'Quantification Tool'!$B$15="Little Tennessee",'Quantification Tool'!$B$15="New",'Quantification Tool'!$B$15="Watauga"),IF(E74&lt;22,0,IF(E74&gt;=60,1,ROUND(E74*'Performance Standards'!$AK$185+'Performance Standards'!$AK$186,2))),IF(OR('Quantification Tool'!$B$15="Broad",'Quantification Tool'!$B$15="Catawba",'Quantification Tool'!$B$15="Savannah",'Quantification Tool'!$B$15="Yadkin-PeeDee"),IF(E74&lt;27,0,IF(E74&gt;=60,1,ROUND(E74^2*'Performance Standards'!$AK$219+E74*'Performance Standards'!$AK$220+'Performance Standards'!$AK$221,2))),IF(OR('Quantification Tool'!$B$15="Cape Fear",'Quantification Tool'!$B$15="Neuse",'Quantification Tool'!$B$15="Roanoke",'Quantification Tool'!$B$15="Tar-Pamlico"),IF(E74&lt;26,0,IF(E74&gt;=60,1,ROUND(E74^2*'Performance Standards'!$AK$253+E74*'Performance Standards'!$AK$254+'Performance Standards'!$AK$255,2)))))))</f>
        <v/>
      </c>
      <c r="G74" s="162" t="str">
        <f>IFERROR(AVERAGE(F74),"")</f>
        <v/>
      </c>
      <c r="H74" s="424"/>
      <c r="I74" s="425"/>
      <c r="J74" s="423"/>
      <c r="K74" s="423"/>
      <c r="L74" s="21"/>
    </row>
    <row r="75" spans="1:12" x14ac:dyDescent="0.25">
      <c r="L75" s="21"/>
    </row>
    <row r="76" spans="1:12" x14ac:dyDescent="0.25">
      <c r="L76" s="21"/>
    </row>
    <row r="77" spans="1:12" ht="21" x14ac:dyDescent="0.35">
      <c r="A77" s="323" t="s">
        <v>371</v>
      </c>
      <c r="B77" s="324"/>
      <c r="C77" s="325" t="s">
        <v>372</v>
      </c>
      <c r="D77" s="324"/>
      <c r="E77" s="326"/>
      <c r="F77" s="327"/>
      <c r="G77" s="433" t="s">
        <v>18</v>
      </c>
      <c r="H77" s="434"/>
      <c r="I77" s="434"/>
      <c r="J77" s="434"/>
      <c r="K77" s="435"/>
      <c r="L77" s="21"/>
    </row>
    <row r="78" spans="1:12" ht="15.75" x14ac:dyDescent="0.25">
      <c r="A78" s="271" t="s">
        <v>1</v>
      </c>
      <c r="B78" s="271" t="s">
        <v>2</v>
      </c>
      <c r="C78" s="462" t="s">
        <v>3</v>
      </c>
      <c r="D78" s="464"/>
      <c r="E78" s="271" t="s">
        <v>15</v>
      </c>
      <c r="F78" s="271" t="s">
        <v>16</v>
      </c>
      <c r="G78" s="271" t="s">
        <v>19</v>
      </c>
      <c r="H78" s="271" t="s">
        <v>20</v>
      </c>
      <c r="I78" s="271" t="s">
        <v>20</v>
      </c>
      <c r="J78" s="271" t="s">
        <v>21</v>
      </c>
      <c r="K78" s="95" t="s">
        <v>21</v>
      </c>
    </row>
    <row r="79" spans="1:12" ht="15.75" x14ac:dyDescent="0.25">
      <c r="A79" s="447" t="s">
        <v>78</v>
      </c>
      <c r="B79" s="270" t="s">
        <v>177</v>
      </c>
      <c r="C79" s="257" t="s">
        <v>329</v>
      </c>
      <c r="D79" s="97"/>
      <c r="E79" s="253"/>
      <c r="F79" s="260" t="str">
        <f>IF(E79="","",IF(E79&gt;78,0,IF(E79&lt;30,1,ROUND('Performance Standards'!C$14*E79^2+'Performance Standards'!C$15*E79+'Performance Standards'!C$16,2))))</f>
        <v/>
      </c>
      <c r="G79" s="157" t="str">
        <f>IFERROR(AVERAGE(F79),"")</f>
        <v/>
      </c>
      <c r="H79" s="492" t="str">
        <f>IFERROR(ROUND(AVERAGE(G79:G82),2),"")</f>
        <v/>
      </c>
      <c r="I79" s="425" t="str">
        <f>IF(H79="","",IF(H79&gt;0.69,"Functioning",IF(H79&gt;0.29,"Functioning At Risk",IF(H79&gt;-1,"Not Functioning"))))</f>
        <v/>
      </c>
      <c r="J79" s="423" t="str">
        <f>IF(AND(H79="",H83="",H85="",H104="",H110=""),"",ROUND((IF(H79="",0,H79)*0.2)+(IF(H83="",0,H83)*0.2)+(IF(H85="",0,H85)*0.2)+(IF(H104="",0,H104)*0.2)+(IF(H110="",0,H110)*0.2),2))</f>
        <v/>
      </c>
      <c r="K79" s="423" t="str">
        <f>IF(J79="","",IF(J79&lt;0.3, "Not Functioning",IF(OR(H79&lt;0.7,H83&lt;0.7,H85&lt;0.7,H104&lt;0.7,H110&lt;0.7),"Functioning At Risk",IF(J79&lt;0.7,"Functioning At Risk","Functioning"))))</f>
        <v/>
      </c>
    </row>
    <row r="80" spans="1:12" ht="15.75" x14ac:dyDescent="0.25">
      <c r="A80" s="448"/>
      <c r="B80" s="489" t="s">
        <v>328</v>
      </c>
      <c r="C80" s="257" t="s">
        <v>329</v>
      </c>
      <c r="D80" s="256"/>
      <c r="E80" s="253"/>
      <c r="F80" s="260" t="str">
        <f>IF(E80="","",IF(E80&gt;78,0,IF(E80&lt;30,1,ROUND('Performance Standards'!C$14*E80^2+'Performance Standards'!C$15*E80+'Performance Standards'!C$16,2))))</f>
        <v/>
      </c>
      <c r="G80" s="486" t="str">
        <f>IFERROR(AVERAGE(F80:F82),"")</f>
        <v/>
      </c>
      <c r="H80" s="493"/>
      <c r="I80" s="425"/>
      <c r="J80" s="423"/>
      <c r="K80" s="423"/>
    </row>
    <row r="81" spans="1:13" ht="15.75" x14ac:dyDescent="0.25">
      <c r="A81" s="448"/>
      <c r="B81" s="490"/>
      <c r="C81" s="258" t="s">
        <v>330</v>
      </c>
      <c r="D81" s="97"/>
      <c r="E81" s="304"/>
      <c r="F81" s="98" t="str">
        <f>IF(E81="","",IF(E81&gt;3,0,IF(E81=0,1,ROUND('Performance Standards'!C$48*E81+'Performance Standards'!C$49,2))))</f>
        <v/>
      </c>
      <c r="G81" s="487"/>
      <c r="H81" s="493"/>
      <c r="I81" s="425"/>
      <c r="J81" s="423"/>
      <c r="K81" s="423"/>
    </row>
    <row r="82" spans="1:13" ht="15.75" x14ac:dyDescent="0.25">
      <c r="A82" s="448"/>
      <c r="B82" s="491"/>
      <c r="C82" s="259" t="s">
        <v>331</v>
      </c>
      <c r="D82" s="101"/>
      <c r="E82" s="305"/>
      <c r="F82" s="255" t="str">
        <f>IF(E82="","",IF(E82&gt;=30,1,ROUND('Performance Standards'!$C$83*E82^2+'Performance Standards'!$C$84*E82+'Performance Standards'!$C$85,2)))</f>
        <v/>
      </c>
      <c r="G82" s="488"/>
      <c r="H82" s="493"/>
      <c r="I82" s="425"/>
      <c r="J82" s="423"/>
      <c r="K82" s="423"/>
    </row>
    <row r="83" spans="1:13" ht="15.75" x14ac:dyDescent="0.25">
      <c r="A83" s="445" t="s">
        <v>6</v>
      </c>
      <c r="B83" s="445" t="s">
        <v>7</v>
      </c>
      <c r="C83" s="102" t="s">
        <v>8</v>
      </c>
      <c r="D83" s="102"/>
      <c r="E83" s="304"/>
      <c r="F83" s="103" t="str">
        <f>IF(E83="","",ROUND(IF(E83&gt;1.6,0,IF(E83&lt;=1,1,E83^2*'Performance Standards'!K$14+E83*'Performance Standards'!K$15+'Performance Standards'!K$16)),2))</f>
        <v/>
      </c>
      <c r="G83" s="449" t="str">
        <f>IFERROR(AVERAGE(F83:F84),"")</f>
        <v/>
      </c>
      <c r="H83" s="449" t="str">
        <f>IFERROR(ROUND(AVERAGE(G83),2),"")</f>
        <v/>
      </c>
      <c r="I83" s="436" t="str">
        <f>IF(H83="","",IF(H83&gt;0.69,"Functioning",IF(H83&gt;0.29,"Functioning At Risk",IF(H83&gt;-1,"Not Functioning"))))</f>
        <v/>
      </c>
      <c r="J83" s="423"/>
      <c r="K83" s="423"/>
    </row>
    <row r="84" spans="1:13" ht="15.75" x14ac:dyDescent="0.25">
      <c r="A84" s="446"/>
      <c r="B84" s="446"/>
      <c r="C84" s="104" t="s">
        <v>9</v>
      </c>
      <c r="D84" s="104"/>
      <c r="E84" s="305"/>
      <c r="F84" s="105" t="str">
        <f>IF(E84="","",IF(OR('Quantification Tool'!B$7="A",'Quantification Tool'!B$7="B", 'Quantification Tool'!B$7="Bc"),IF(E84&lt;1.2,0,IF(E84&gt;=2.2,1,ROUND(IF(E84&lt;1.4,E84*'Performance Standards'!$K$84+'Performance Standards'!$K$85,E84*'Performance Standards'!$L$84+'Performance Standards'!$L$85),2))),IF(OR('Quantification Tool'!B$7="C",'Quantification Tool'!B$7="E"),IF(E84&lt;2,0,IF(E84&gt;=5,1,ROUND(IF(E84&lt;2.4,E84*'Performance Standards'!$L$49+'Performance Standards'!$L$50,E84*'Performance Standards'!$K$49+'Performance Standards'!$K$50),2))))))</f>
        <v/>
      </c>
      <c r="G84" s="450"/>
      <c r="H84" s="450"/>
      <c r="I84" s="437"/>
      <c r="J84" s="423"/>
      <c r="K84" s="423"/>
    </row>
    <row r="85" spans="1:13" ht="15.75" x14ac:dyDescent="0.25">
      <c r="A85" s="439" t="s">
        <v>30</v>
      </c>
      <c r="B85" s="439" t="s">
        <v>31</v>
      </c>
      <c r="C85" s="111" t="s">
        <v>27</v>
      </c>
      <c r="D85" s="318"/>
      <c r="E85" s="253"/>
      <c r="F85" s="132" t="str">
        <f>IF(E85="","",IF(E85&gt;700,1,IF(E85&lt;300,ROUND('Performance Standards'!$S$14*(E85^2)+'Performance Standards'!$S$15*E85+'Performance Standards'!$S$16,2),ROUND('Performance Standards'!$T$15*E85+'Performance Standards'!$T$16,2))))</f>
        <v/>
      </c>
      <c r="G85" s="441" t="str">
        <f>IFERROR(AVERAGE(F85:F86),"")</f>
        <v/>
      </c>
      <c r="H85" s="438" t="str">
        <f>IFERROR(ROUND(AVERAGE(G85:G103),2),"")</f>
        <v/>
      </c>
      <c r="I85" s="423" t="str">
        <f>IF(H85="","",IF(H85&gt;0.69,"Functioning",IF(H85&gt;0.29,"Functioning At Risk",IF(H85&gt;-1,"Not Functioning"))))</f>
        <v/>
      </c>
      <c r="J85" s="423"/>
      <c r="K85" s="423"/>
    </row>
    <row r="86" spans="1:13" ht="15.75" x14ac:dyDescent="0.25">
      <c r="A86" s="443"/>
      <c r="B86" s="440"/>
      <c r="C86" s="113" t="s">
        <v>369</v>
      </c>
      <c r="D86" s="317"/>
      <c r="E86" s="305"/>
      <c r="F86" s="319" t="str">
        <f>IF(E86="","",IF(E86&gt;30,1,IF(E86&lt;16,ROUND('Performance Standards'!$S$48*(E86^2)+'Performance Standards'!$S$49*E86+'Performance Standards'!$S$50,2),ROUND('Performance Standards'!$T$49*E86+'Performance Standards'!$T$50,2))))</f>
        <v/>
      </c>
      <c r="G86" s="442"/>
      <c r="H86" s="438"/>
      <c r="I86" s="423"/>
      <c r="J86" s="423"/>
      <c r="K86" s="423"/>
    </row>
    <row r="87" spans="1:13" ht="15.75" x14ac:dyDescent="0.25">
      <c r="A87" s="443"/>
      <c r="B87" s="443" t="s">
        <v>54</v>
      </c>
      <c r="C87" s="111" t="s">
        <v>156</v>
      </c>
      <c r="D87" s="114"/>
      <c r="E87" s="253"/>
      <c r="F87" s="109" t="str">
        <f>IF(E87="","",ROUND(IF(E87&gt;0.7,0,IF(E87&lt;=0.1,1,E87^3*'Performance Standards'!S$83+E87^2*'Performance Standards'!S$84+E87*'Performance Standards'!S$85+'Performance Standards'!S$86)),2))</f>
        <v/>
      </c>
      <c r="G87" s="444" t="str">
        <f>IFERROR(IF(E87="",AVERAGE(F88:F89),IF(E88="",F87,MIN(F87,AVERAGE(F88:F89)))),"")</f>
        <v/>
      </c>
      <c r="H87" s="438"/>
      <c r="I87" s="423"/>
      <c r="J87" s="423"/>
      <c r="K87" s="423"/>
    </row>
    <row r="88" spans="1:13" ht="15.75" x14ac:dyDescent="0.25">
      <c r="A88" s="443"/>
      <c r="B88" s="443"/>
      <c r="C88" s="112" t="s">
        <v>55</v>
      </c>
      <c r="D88" s="108"/>
      <c r="E88" s="304"/>
      <c r="F88" s="109" t="str">
        <f>IF(E88="","",IF(OR(E88="Ex/Ex",E88="Ex/VH"),0, IF(OR(E88="Ex/H",E88="VH/Ex",E88="VH/VH", E88="H/Ex",E88="H/VH",E88="M/Ex"),0.1,IF(OR(E88="Ex/M",E88="VH/H",E88="H/H", E88="M/VH"),0.2, IF(OR(E88="Ex/L",E88="VH/M",E88="H/M", E88="M/H",E88="L/Ex"),0.3, IF(OR(E88="Ex/VL",E88="VH/L",E88="H/L"),0.4, IF(OR(E88="VH/VL",E88="H/VL",E88="M/M", E88="L/VH"),0.5, IF(OR(E88="M/L",E88="L/H"),0.6, IF(OR(E88="M/VL",E88="L/M"),0.7, IF(OR(E88="L/L",E88="L/VL"),1))))))))))</f>
        <v/>
      </c>
      <c r="G88" s="444"/>
      <c r="H88" s="438"/>
      <c r="I88" s="423"/>
      <c r="J88" s="423"/>
      <c r="K88" s="423"/>
    </row>
    <row r="89" spans="1:13" ht="15.75" x14ac:dyDescent="0.25">
      <c r="A89" s="443"/>
      <c r="B89" s="443"/>
      <c r="C89" s="113" t="s">
        <v>192</v>
      </c>
      <c r="D89" s="116"/>
      <c r="E89" s="305"/>
      <c r="F89" s="118" t="str">
        <f>IF(E89="","",ROUND(IF(E89&gt;40,0,IF(E89&lt;5,1,E89^3*'Performance Standards'!S$118+E89^2*'Performance Standards'!S$119+E89*'Performance Standards'!S$120+'Performance Standards'!S$121)),2))</f>
        <v/>
      </c>
      <c r="G89" s="444"/>
      <c r="H89" s="438"/>
      <c r="I89" s="423"/>
      <c r="J89" s="423"/>
      <c r="K89" s="423"/>
    </row>
    <row r="90" spans="1:13" ht="15.75" x14ac:dyDescent="0.25">
      <c r="A90" s="443"/>
      <c r="B90" s="439" t="s">
        <v>56</v>
      </c>
      <c r="C90" s="114" t="s">
        <v>242</v>
      </c>
      <c r="D90" s="114"/>
      <c r="E90" s="253"/>
      <c r="F90" s="132" t="str">
        <f>IF(E90="","",ROUND(IF(E90&gt;90,1,E90^2*'Performance Standards'!S$153+E90*'Performance Standards'!S$154+'Performance Standards'!S$155),2))</f>
        <v/>
      </c>
      <c r="G90" s="441" t="str">
        <f>IFERROR(AVERAGE(F90:F97),"")</f>
        <v/>
      </c>
      <c r="H90" s="438"/>
      <c r="I90" s="423"/>
      <c r="J90" s="423"/>
      <c r="K90" s="423"/>
    </row>
    <row r="91" spans="1:13" ht="15.75" x14ac:dyDescent="0.25">
      <c r="A91" s="443"/>
      <c r="B91" s="443"/>
      <c r="C91" s="108" t="s">
        <v>243</v>
      </c>
      <c r="D91" s="108"/>
      <c r="E91" s="304"/>
      <c r="F91" s="109" t="str">
        <f>IF(E91="","",ROUND(IF(E91&gt;90,1,E91^2*'Performance Standards'!S$153+E91*'Performance Standards'!S$154+'Performance Standards'!S$155),2))</f>
        <v/>
      </c>
      <c r="G91" s="444"/>
      <c r="H91" s="438"/>
      <c r="I91" s="423"/>
      <c r="J91" s="423"/>
      <c r="K91" s="423"/>
    </row>
    <row r="92" spans="1:13" ht="15.75" x14ac:dyDescent="0.25">
      <c r="A92" s="443"/>
      <c r="B92" s="443"/>
      <c r="C92" s="108" t="s">
        <v>170</v>
      </c>
      <c r="D92" s="108"/>
      <c r="E92" s="304"/>
      <c r="F92" s="109" t="str">
        <f>IF(E92="","",ROUND(IF(OR('Quantification Tool'!B$7="A",'Quantification Tool'!B$7="B",'Quantification Tool'!B$7="Bc"),IF(E92&gt;=50,1, IF(E92&lt;30, E92*'Performance Standards'!S$188+'Performance Standards'!S$189, E92*'Performance Standards'!T$188+'Performance Standards'!T$189)), IF(E92&gt;=150,1,IF(E92&lt;48, E92^2*'Performance Standards'!S$222+E92*'Performance Standards'!S$223+'Performance Standards'!S$224, E92*'Performance Standards'!T$223+'Performance Standards'!T$224))),2))</f>
        <v/>
      </c>
      <c r="G92" s="444"/>
      <c r="H92" s="438"/>
      <c r="I92" s="423"/>
      <c r="J92" s="423"/>
      <c r="K92" s="423"/>
    </row>
    <row r="93" spans="1:13" ht="15.75" x14ac:dyDescent="0.25">
      <c r="A93" s="443"/>
      <c r="B93" s="443"/>
      <c r="C93" s="108" t="s">
        <v>171</v>
      </c>
      <c r="D93" s="108"/>
      <c r="E93" s="304"/>
      <c r="F93" s="109" t="str">
        <f>IF(E93="","",ROUND(IF(OR('Quantification Tool'!B$7="A",'Quantification Tool'!B$7="B",'Quantification Tool'!B$7="Bc"),IF(E93&gt;=50,1, IF(E93&lt;30, E93*'Performance Standards'!S$188+'Performance Standards'!S$189, E93*'Performance Standards'!T$188+'Performance Standards'!T$189)), IF(E93&gt;=150,1,IF(E93&lt;48, E93^2*'Performance Standards'!S$222+E93*'Performance Standards'!S$223+'Performance Standards'!S$224, E93*'Performance Standards'!T$223+'Performance Standards'!T$224))),2))</f>
        <v/>
      </c>
      <c r="G93" s="444"/>
      <c r="H93" s="438"/>
      <c r="I93" s="423"/>
      <c r="J93" s="423"/>
      <c r="K93" s="423"/>
    </row>
    <row r="94" spans="1:13" ht="15.75" x14ac:dyDescent="0.25">
      <c r="A94" s="443"/>
      <c r="B94" s="443"/>
      <c r="C94" s="108" t="s">
        <v>251</v>
      </c>
      <c r="D94" s="108"/>
      <c r="E94" s="304"/>
      <c r="F94" s="109" t="str">
        <f>IF(E94="","",ROUND(IF(E94&gt;100,1,E94^2*'Performance Standards'!S$255+E94*'Performance Standards'!S$256+'Performance Standards'!S$257),2))</f>
        <v/>
      </c>
      <c r="G94" s="444"/>
      <c r="H94" s="438"/>
      <c r="I94" s="423"/>
      <c r="J94" s="423"/>
      <c r="K94" s="423"/>
    </row>
    <row r="95" spans="1:13" ht="15.75" x14ac:dyDescent="0.25">
      <c r="A95" s="443"/>
      <c r="B95" s="443"/>
      <c r="C95" s="108" t="s">
        <v>252</v>
      </c>
      <c r="D95" s="108"/>
      <c r="E95" s="304"/>
      <c r="F95" s="109" t="str">
        <f>IF(E95="","",ROUND(IF(E95&gt;100,1,E95^2*'Performance Standards'!S$255+E95*'Performance Standards'!S$256+'Performance Standards'!S$257),2))</f>
        <v/>
      </c>
      <c r="G95" s="444"/>
      <c r="H95" s="438"/>
      <c r="I95" s="423"/>
      <c r="J95" s="423"/>
      <c r="K95" s="423"/>
    </row>
    <row r="96" spans="1:13" ht="15.75" x14ac:dyDescent="0.25">
      <c r="A96" s="443"/>
      <c r="B96" s="443"/>
      <c r="C96" s="112" t="s">
        <v>342</v>
      </c>
      <c r="D96" s="108"/>
      <c r="E96" s="304"/>
      <c r="F96" s="109" t="str">
        <f>IF(E96="","",ROUND(IF(E96&gt;=260,0.5,E96*'Performance Standards'!S$288+'Performance Standards'!S$289),2))</f>
        <v/>
      </c>
      <c r="G96" s="444"/>
      <c r="H96" s="438"/>
      <c r="I96" s="423"/>
      <c r="J96" s="423"/>
      <c r="K96" s="423"/>
      <c r="M96" s="21"/>
    </row>
    <row r="97" spans="1:12" ht="15.75" x14ac:dyDescent="0.25">
      <c r="A97" s="443"/>
      <c r="B97" s="440"/>
      <c r="C97" s="113" t="s">
        <v>343</v>
      </c>
      <c r="D97" s="108"/>
      <c r="E97" s="304"/>
      <c r="F97" s="219" t="str">
        <f>IF(E97="","",ROUND(IF(E97&gt;=260,0.5,E97*'Performance Standards'!S$288+'Performance Standards'!S$289),2))</f>
        <v/>
      </c>
      <c r="G97" s="442"/>
      <c r="H97" s="438"/>
      <c r="I97" s="423"/>
      <c r="J97" s="423"/>
      <c r="K97" s="423"/>
    </row>
    <row r="98" spans="1:12" ht="15.75" x14ac:dyDescent="0.25">
      <c r="A98" s="443"/>
      <c r="B98" s="106" t="s">
        <v>254</v>
      </c>
      <c r="C98" s="131" t="s">
        <v>345</v>
      </c>
      <c r="D98" s="107"/>
      <c r="E98" s="87"/>
      <c r="F98" s="109" t="str">
        <f>IF(E98="","",IF('Quantification Tool'!B$10="Gravel",IF(E98&gt;0.1,1,IF(E98&lt;=0.01,0,ROUND(E98*'Performance Standards'!$S$323+'Performance Standards'!$S$324,2)))))</f>
        <v/>
      </c>
      <c r="G98" s="155" t="str">
        <f>IFERROR(AVERAGE(F98),"")</f>
        <v/>
      </c>
      <c r="H98" s="438"/>
      <c r="I98" s="423"/>
      <c r="J98" s="423"/>
      <c r="K98" s="423"/>
    </row>
    <row r="99" spans="1:12" ht="15.75" x14ac:dyDescent="0.25">
      <c r="A99" s="443"/>
      <c r="B99" s="439" t="s">
        <v>57</v>
      </c>
      <c r="C99" s="111" t="s">
        <v>58</v>
      </c>
      <c r="D99" s="114"/>
      <c r="E99" s="253"/>
      <c r="F99" s="310" t="str">
        <f>IF(E99="","",IF('Quantification Tool'!B$13&gt;=4,IF(AND(E99&lt;=5,E99&gt;=0.1),1,IF(OR(E99&lt;0.1,E99&gt;8),0,ROUND(E99*'Performance Standards'!$S$357+'Performance Standards'!$S$358,2))), IF(AND('Quantification Tool'!B$9&gt;=10,OR('Quantification Tool'!B$7="C",'Quantification Tool'!B$7="E")),IF(OR(E99&lt;3,E99&gt;8),0,IF(AND(E99&gt;=4,E99&lt;=7),1,ROUND(E99^2*'Performance Standards'!$S$389+E99*'Performance Standards'!$S$390+'Performance Standards'!$S$391,2))),  IF(AND('Quantification Tool'!B$9&lt;10,OR('Quantification Tool'!B$7="C",'Quantification Tool'!B$7="E")),IF(OR(E99&lt;3,E99&gt;7),0,IF(E99&lt;4,ROUND(E99*'Performance Standards'!$S$423+'Performance Standards'!$S$424,2), IF(E99&gt;5, ROUND(E99*'Performance Standards'!$T$423+'Performance Standards'!T$424,2),1))),IF(OR(AND('Quantification Tool'!B$13&lt;2,'Quantification Tool'!B$7="Bc"),AND('Quantification Tool'!B$13&gt;=2,'Quantification Tool'!B$13&lt;=4,'Quantification Tool'!B$7="B")),ROUND(IF(E99&gt;8,0,IF(E99&lt;=0.6,1,E99^2*'Performance Standards'!$S$455+E99*'Performance Standards'!$S$456+'Performance Standards'!$S$457)),2))))))</f>
        <v/>
      </c>
      <c r="G99" s="441" t="str">
        <f>IFERROR(AVERAGE(F99:F102),"")</f>
        <v/>
      </c>
      <c r="H99" s="438"/>
      <c r="I99" s="423"/>
      <c r="J99" s="423"/>
      <c r="K99" s="423"/>
    </row>
    <row r="100" spans="1:12" ht="15.75" x14ac:dyDescent="0.25">
      <c r="A100" s="443"/>
      <c r="B100" s="443"/>
      <c r="C100" s="112" t="s">
        <v>59</v>
      </c>
      <c r="D100" s="108"/>
      <c r="E100" s="304"/>
      <c r="F100" s="311" t="str">
        <f>IF(E100="","",IF(E100&lt;=1.1,0,IF(OR('Quantification Tool'!B$7="A", 'Quantification Tool'!B$7="B", 'Quantification Tool'!B$7="Bc"),IF(E100&gt;1.74,1,ROUND(IF(E100&lt;1.2,E100*'Performance Standards'!S$556+'Performance Standards'!S$557,E100*'Performance Standards'!T$556+'Performance Standards'!T$557),2)),IF(OR('Quantification Tool'!B$7="C", 'Quantification Tool'!B$7="E"),IF('Quantification Tool'!B$10="Gravel",IF(E100&gt;1.74,1,ROUND(IF(E100&lt;1.2,E100*'Performance Standards'!S$489+'Performance Standards'!S$490,E100*'Performance Standards'!T$489+'Performance Standards'!T$490),2)),IF('Quantification Tool'!B$10="Sand",IF(E100&gt;=1.25,1,ROUND(E100^2*'Performance Standards'!S$521+E100*'Performance Standards'!S$522+'Performance Standards'!S$523,2))))))))</f>
        <v/>
      </c>
      <c r="G100" s="444"/>
      <c r="H100" s="438"/>
      <c r="I100" s="423"/>
      <c r="J100" s="423"/>
      <c r="K100" s="423"/>
    </row>
    <row r="101" spans="1:12" ht="15.75" x14ac:dyDescent="0.25">
      <c r="A101" s="443"/>
      <c r="B101" s="443"/>
      <c r="C101" s="112" t="s">
        <v>62</v>
      </c>
      <c r="D101" s="108"/>
      <c r="E101" s="304"/>
      <c r="F101" s="312" t="str">
        <f>IF(E101="","",IF('Quantification Tool'!B$13="","Need Slope",IF('Quantification Tool'!B$13&lt;3,ROUND(IF(OR(E101&gt;83,E101&lt;32),0, IF(E101&lt;60,E101*'Performance Standards'!S$591+'Performance Standards'!S$592,IF(E101&gt;70,E101^2*'Performance Standards'!T$590+E101*'Performance Standards'!T$591+'Performance Standards'!T$592,1))),2),IF('Quantification Tool'!B$13&gt;10,ROUND(IF(E101&gt;=80,1,IF(E101&lt;67,0,E101^2*'Performance Standards'!S$657+E101*'Performance Standards'!S$658+'Performance Standards'!S$659)),2),IF(OR(E101&gt;76, E101&lt;34),0,IF(AND(E101&gt;49,E101&lt;61),1,ROUND(IF(E101&lt;50,E101*'Performance Standards'!S$625+'Performance Standards'!S$626,E101*'Performance Standards'!T$625+'Performance Standards'!T$626),2)))))))</f>
        <v/>
      </c>
      <c r="G101" s="444"/>
      <c r="H101" s="438"/>
      <c r="I101" s="423"/>
      <c r="J101" s="423"/>
      <c r="K101" s="423"/>
    </row>
    <row r="102" spans="1:12" ht="15.75" x14ac:dyDescent="0.25">
      <c r="A102" s="443"/>
      <c r="B102" s="440"/>
      <c r="C102" s="116" t="s">
        <v>363</v>
      </c>
      <c r="D102" s="116"/>
      <c r="E102" s="305"/>
      <c r="F102" s="117" t="str">
        <f>IF(E102="","",IF(E102&gt;=1.6,0,IF(E102&lt;=1,1,ROUND('Performance Standards'!$S$689*E102^3+'Performance Standards'!$S$690*E102^2+'Performance Standards'!$S$691*E102+'Performance Standards'!$S$692,2))))</f>
        <v/>
      </c>
      <c r="G102" s="442"/>
      <c r="H102" s="438"/>
      <c r="I102" s="423"/>
      <c r="J102" s="423"/>
      <c r="K102" s="423"/>
    </row>
    <row r="103" spans="1:12" ht="15.75" x14ac:dyDescent="0.25">
      <c r="A103" s="440"/>
      <c r="B103" s="320" t="s">
        <v>64</v>
      </c>
      <c r="C103" s="116" t="s">
        <v>63</v>
      </c>
      <c r="D103" s="116"/>
      <c r="E103" s="305"/>
      <c r="F103" s="118" t="str">
        <f>IF(E103="","",IF(AND('Quantification Tool'!B$7="E",'Quantification Tool'!$B$10="Sand",'Quantification Tool'!$B$18="Unconfined Alluvial"),ROUND(IF(OR(E103&gt;1.8,E103&lt;1.3),0,IF(E103&lt;=1.6,1,E103*'Performance Standards'!$S$723+'Performance Standards'!$S$724)),2),    IF('Quantification Tool'!$B$18="Unconfined Alluvial",ROUND(IF(OR(E103&lt;1.2, E103&gt;1.5),0,IF(E103&lt;=1.4,1,E103*'Performance Standards'!$S$756+'Performance Standards'!$S$757)),2), IF('Quantification Tool'!$B$18="Confined Alluvial",ROUND(IF(E103&lt;1.15,0,IF(E103&lt;=1.4,E103*'Performance Standards'!$S$785+'Performance Standards'!$S$786,1)),2),  IF('Quantification Tool'!$B$18="Colluvial",ROUND(IF(E103&gt;1.3,0,IF(E103&gt;1.2,E103*'Performance Standards'!$S$815+'Performance Standards'!$S$816,1)),2) )))))</f>
        <v/>
      </c>
      <c r="G103" s="158" t="str">
        <f>IFERROR(AVERAGE(F103),"")</f>
        <v/>
      </c>
      <c r="H103" s="438"/>
      <c r="I103" s="423"/>
      <c r="J103" s="423"/>
      <c r="K103" s="423"/>
      <c r="L103" s="13"/>
    </row>
    <row r="104" spans="1:12" ht="15.75" x14ac:dyDescent="0.25">
      <c r="A104" s="431" t="s">
        <v>68</v>
      </c>
      <c r="B104" s="122" t="s">
        <v>161</v>
      </c>
      <c r="C104" s="133" t="s">
        <v>438</v>
      </c>
      <c r="D104" s="123"/>
      <c r="E104" s="87"/>
      <c r="F104" s="124" t="str">
        <f>IF(E104="","",IF('Quantification Tool'!$B$16="Coldwater",IF(E104&gt;77,0,IF(E104&lt;59,1,ROUND(E104*'Performance Standards'!$AB$15+'Performance Standards'!$AB$16,2))),IF('Quantification Tool'!$B$16="Coolwater",IF(E104&gt;97,0,IF(E104&lt;67,1,ROUND(E104*'Performance Standards'!$AC$15+'Performance Standards'!$AC$16,2))))))</f>
        <v/>
      </c>
      <c r="G104" s="159" t="str">
        <f>IFERROR(AVERAGE(F104),"")</f>
        <v/>
      </c>
      <c r="H104" s="426" t="str">
        <f>IFERROR(ROUND(AVERAGE(G104:G109),2),"")</f>
        <v/>
      </c>
      <c r="I104" s="425" t="str">
        <f>IF(H104="","",IF(H104&gt;0.69,"Functioning",IF(H104&gt;0.29,"Functioning At Risk",IF(H104&gt;-1,"Not Functioning"))))</f>
        <v/>
      </c>
      <c r="J104" s="423"/>
      <c r="K104" s="423"/>
      <c r="L104" s="13"/>
    </row>
    <row r="105" spans="1:12" ht="15.75" x14ac:dyDescent="0.25">
      <c r="A105" s="430"/>
      <c r="B105" s="268" t="s">
        <v>194</v>
      </c>
      <c r="C105" s="127" t="s">
        <v>197</v>
      </c>
      <c r="D105" s="120"/>
      <c r="E105" s="304"/>
      <c r="F105" s="121" t="str">
        <f>IF(E105="","",ROUND(IF(E105&gt;=284,0,E105*'Performance Standards'!AB$116+'Performance Standards'!AB$117),2))</f>
        <v/>
      </c>
      <c r="G105" s="159" t="str">
        <f>IFERROR(AVERAGE(F105),"")</f>
        <v/>
      </c>
      <c r="H105" s="426"/>
      <c r="I105" s="425"/>
      <c r="J105" s="423"/>
      <c r="K105" s="423"/>
      <c r="L105" s="21"/>
    </row>
    <row r="106" spans="1:12" ht="15.75" x14ac:dyDescent="0.25">
      <c r="A106" s="430"/>
      <c r="B106" s="430" t="s">
        <v>195</v>
      </c>
      <c r="C106" s="263" t="s">
        <v>92</v>
      </c>
      <c r="D106" s="215"/>
      <c r="E106" s="253"/>
      <c r="F106" s="134" t="str">
        <f>IF(E106="","",IF(OR(E106&lt;0.5,E106&gt;2), 0, ROUND(IF(E106&lt;0.75, E106*'Performance Standards'!$AB$153+'Performance Standards'!$AB$154, IF(E106&lt;=1.33, E106*'Performance Standards'!$AC$153+'Performance Standards'!$AC$154,E106*'Performance Standards'!$AD$153+'Performance Standards'!$AD$154)),2)))</f>
        <v/>
      </c>
      <c r="G106" s="456" t="str">
        <f>IFERROR(AVERAGE(F106:F107),"")</f>
        <v/>
      </c>
      <c r="H106" s="426"/>
      <c r="I106" s="425"/>
      <c r="J106" s="423"/>
      <c r="K106" s="423"/>
      <c r="L106" s="21"/>
    </row>
    <row r="107" spans="1:12" ht="15.75" x14ac:dyDescent="0.25">
      <c r="A107" s="430"/>
      <c r="B107" s="430"/>
      <c r="C107" s="135" t="s">
        <v>193</v>
      </c>
      <c r="D107" s="127"/>
      <c r="E107" s="305"/>
      <c r="F107" s="121" t="str">
        <f>IF(E107="","",IF('Quantification Tool'!$B$8 = "Mountains", IF('Quantification Tool'!$B$9 &lt;=5, IF( 'Quantification Tool'!$B$17= "Winter/Spring", ROUND(IF(E107&gt;=23,1,E107*'Performance Standards'!$AB$188+'Performance Standards'!$AB$189),2), IF('Quantification Tool'!$B$17= "Summer", ROUND(IF(E107&gt;=21,1,E107*'Performance Standards'!$AC$188),2), IF('Quantification Tool'!$B$17= "Fall", ROUND(IF(E107&gt;=18,1,E107*'Performance Standards'!$AD$188),2)))), IF('Quantification Tool'!$B$9&lt;10, IF('Quantification Tool'!$B$17= "Winter/Spring", ROUND(IF(E107&gt;16,1,E107*'Performance Standards'!$AB$222),2),IF('Quantification Tool'!$B$17= "Summer",ROUND(IF(E107&gt;14,1,E107*'Performance Standards'!$AC$222),2), IF('Quantification Tool'!$B$17= "Fall",ROUND(IF(E107&gt;12,1,E107*'Performance Standards'!$AD$222),2)))), IF('Quantification Tool'!$B$17= "Winter/Spring", ROUND(IF(E107&gt;14,1,E107*'Performance Standards'!$AB$256),2),IF('Quantification Tool'!$B$17= "Summer",ROUND(IF(E107&gt;16,1,E107*'Performance Standards'!$AC$256),2), IF('Quantification Tool'!$B$17= "Fall",ROUND(IF(E107&gt;15,1,E107*'Performance Standards'!$AD$256),2)))))), IF('Quantification Tool'!$B$8 = "Piedmont",  IF('Quantification Tool'!$B$9 &lt;=5, IF( 'Quantification Tool'!$B$17= "Winter/Spring", ROUND(IF(E107&gt;=18,1,E107*'Performance Standards'!$AB$290),2), IF('Quantification Tool'!$B$17= "Summer", ROUND(IF(E107&gt;=12,1,E107*'Performance Standards'!$AC$290),2), IF('Quantification Tool'!$B$17= "Fall", ROUND(IF(E107&gt;=14,1,E107*'Performance Standards'!$AD$290),2)))), IF('Quantification Tool'!$B$9&lt;10, IF('Quantification Tool'!$B$17= "Winter/Spring", ROUND(IF(E107&gt;12,1,E107*'Performance Standards'!$AB$326),2),IF('Quantification Tool'!$B$17= "Summer",ROUND(IF(E107&gt;5,1,E107*'Performance Standards'!$AC$326),2), IF('Quantification Tool'!$B$17= "Fall",ROUND(IF(E107&gt;8,1,E107*'Performance Standards'!$AD$326),2)))), IF('Quantification Tool'!$B$17= "Winter/Spring", ROUND(IF(E107&gt;8,1,E107*'Performance Standards'!$AB$360),2),IF('Quantification Tool'!$B$17= "Summer",ROUND(IF(E107&gt;7,1,E107*'Performance Standards'!$AC$360),2), IF('Quantification Tool'!$B$17= "Fall",ROUND(IF(E107&gt;8,1,E107*'Performance Standards'!$AD$360),2)))))),IF('Quantification Tool'!$B$8 = "Coastal Plain", IF('Quantification Tool'!$B$9 &lt;=5, IF( 'Quantification Tool'!$B$17= "Winter/Spring", ROUND(IF(E107&gt;=33,1,E107*'Performance Standards'!$AB$392),2), IF('Quantification Tool'!$B$17= "Summer", ROUND(IF(E107&gt;=14,1,E107*'Performance Standards'!$AC$392),2), IF('Quantification Tool'!$B$17= "Fall", ROUND(IF(E107&gt;=25,1,E107*'Performance Standards'!$AD$392),2)))), IF('Quantification Tool'!$B$9&lt;10, IF('Quantification Tool'!$B$17= "Winter/Spring", ROUND(IF(E107&gt;20,1,E107*'Performance Standards'!$AB$424),2),IF('Quantification Tool'!$B$17= "Summer",ROUND(IF(E107&gt;13,1,E107*'Performance Standards'!$AC$424),2), IF('Quantification Tool'!$B$17= "Fall",ROUND(IF(E107&gt;12,1,E107*'Performance Standards'!$AD$424),2)))), IF('Quantification Tool'!$B$17= "Winter/Spring", ROUND(IF(E107&gt;17,1,E107*'Performance Standards'!$AB$458),2),IF('Quantification Tool'!$B$17= "Summer",ROUND(IF(E107&gt;16,1,E107*'Performance Standards'!$AC$458),2), IF('Quantification Tool'!$B$17= "Fall",ROUND(IF(E107&gt;8,1,E107*'Performance Standards'!$AD$458),2))))))))))</f>
        <v/>
      </c>
      <c r="G107" s="457"/>
      <c r="H107" s="426"/>
      <c r="I107" s="425"/>
      <c r="J107" s="423"/>
      <c r="K107" s="423"/>
      <c r="L107" s="21"/>
    </row>
    <row r="108" spans="1:12" ht="15.75" x14ac:dyDescent="0.25">
      <c r="A108" s="430"/>
      <c r="B108" s="122" t="s">
        <v>162</v>
      </c>
      <c r="C108" s="377" t="s">
        <v>446</v>
      </c>
      <c r="D108" s="378"/>
      <c r="E108" s="304"/>
      <c r="F108" s="125" t="str">
        <f>IF(E108="","",IF(E108&gt;4,0,ROUND(E108^2*'Performance Standards'!$AB$488+E108*'Performance Standards'!$AB$489+'Performance Standards'!$AB$490,2)))</f>
        <v/>
      </c>
      <c r="G108" s="161" t="str">
        <f>IFERROR(AVERAGE(F108),"")</f>
        <v/>
      </c>
      <c r="H108" s="426"/>
      <c r="I108" s="425"/>
      <c r="J108" s="423"/>
      <c r="K108" s="423"/>
      <c r="L108" s="21"/>
    </row>
    <row r="109" spans="1:12" ht="15.75" x14ac:dyDescent="0.25">
      <c r="A109" s="432"/>
      <c r="B109" s="268" t="s">
        <v>163</v>
      </c>
      <c r="C109" s="377" t="s">
        <v>447</v>
      </c>
      <c r="D109" s="378"/>
      <c r="E109" s="253"/>
      <c r="F109" s="121" t="str">
        <f>IF(E109="","",IF(E109&gt;0.23,0,ROUND(E109^2*'Performance Standards'!$AB$521+E109*'Performance Standards'!$AB$522+'Performance Standards'!$AB$523,2)))</f>
        <v/>
      </c>
      <c r="G109" s="159" t="str">
        <f>IFERROR(AVERAGE(F109),"")</f>
        <v/>
      </c>
      <c r="H109" s="426"/>
      <c r="I109" s="425"/>
      <c r="J109" s="423"/>
      <c r="K109" s="423"/>
      <c r="L109" s="21"/>
    </row>
    <row r="110" spans="1:12" ht="15.75" x14ac:dyDescent="0.25">
      <c r="A110" s="427" t="s">
        <v>70</v>
      </c>
      <c r="B110" s="451" t="s">
        <v>93</v>
      </c>
      <c r="C110" s="226" t="s">
        <v>253</v>
      </c>
      <c r="D110" s="227"/>
      <c r="E110" s="253"/>
      <c r="F110" s="228" t="str">
        <f>IF(E110="","",IF('Quantification Tool'!B$8="Mountains",IF(E110&gt;6.52,0,IF(E110&lt;3.3,1,ROUND(IF(E110&gt;5.62,E110*'Performance Standards'!AL$15+'Performance Standards'!AL$16, E110^2*'Performance Standards'!AK$15+E110*'Performance Standards'!AK$16+'Performance Standards'!AK$17),2))),IF('Quantification Tool'!B$8="Piedmont",IF(E110&gt;6.91,0, IF(E110&lt;4.31,1, ROUND(IF(E110&gt;5.85, E110*'Performance Standards'!$AL$49+'Performance Standards'!$AL$50, E110^2*'Performance Standards'!AK$49+E110*'Performance Standards'!AK$50+'Performance Standards'!AK$51),2))))))</f>
        <v/>
      </c>
      <c r="G110" s="460" t="str">
        <f>IFERROR(AVERAGE(F110:F111),"")</f>
        <v/>
      </c>
      <c r="H110" s="424" t="str">
        <f>IFERROR(ROUND(AVERAGE(G110:G112),2),"")</f>
        <v/>
      </c>
      <c r="I110" s="425" t="str">
        <f>IF(H110="","",IF(H110&gt;0.69,"Functioning",IF(H110&gt;0.29,"Functioning At Risk",IF(H110&gt;-1,"Not Functioning"))))</f>
        <v/>
      </c>
      <c r="J110" s="423"/>
      <c r="K110" s="423"/>
      <c r="L110" s="21"/>
    </row>
    <row r="111" spans="1:12" ht="15.75" x14ac:dyDescent="0.25">
      <c r="A111" s="428"/>
      <c r="B111" s="452"/>
      <c r="C111" s="229" t="s">
        <v>264</v>
      </c>
      <c r="D111" s="128"/>
      <c r="E111" s="305"/>
      <c r="F111" s="230" t="str">
        <f>IF(E111="","",ROUND(IF('Quantification Tool'!B$8="Mountains", IF(E111&lt;11,0,IF(E111&gt;35,1,E111^3*'Performance Standards'!AK$83+E111^2*'Performance Standards'!AK$84+E111*'Performance Standards'!AK$85+'Performance Standards'!AK$86)),IF('Quantification Tool'!B$8 = "Piedmont", IF(E111&lt;7,0,IF(E111&gt;27,1,E111^3*'Performance Standards'!AK$116+E111^2*'Performance Standards'!AK$117+E111*'Performance Standards'!AK$118+'Performance Standards'!AK$119)), IF('Quantification Tool'!B$8="Coastal Plain",IF(E111&lt;6,0,IF(E111&gt;23,1,E111^3*'Performance Standards'!AK$151+E111^2*'Performance Standards'!AK$152+E111*'Performance Standards'!AK$153+'Performance Standards'!AK$154))))),2))</f>
        <v/>
      </c>
      <c r="G111" s="461"/>
      <c r="H111" s="424"/>
      <c r="I111" s="425"/>
      <c r="J111" s="423"/>
      <c r="K111" s="423"/>
      <c r="L111" s="21"/>
    </row>
    <row r="112" spans="1:12" ht="15.75" x14ac:dyDescent="0.25">
      <c r="A112" s="429"/>
      <c r="B112" s="269" t="s">
        <v>146</v>
      </c>
      <c r="C112" s="128" t="s">
        <v>147</v>
      </c>
      <c r="D112" s="128"/>
      <c r="E112" s="305"/>
      <c r="F112" s="130" t="str">
        <f>IF(E112="","",IF(OR('Quantification Tool'!$B$15="French Broad",'Quantification Tool'!$B$15="Hiwassee",'Quantification Tool'!$B$15="Little Tennessee",'Quantification Tool'!$B$15="New",'Quantification Tool'!$B$15="Watauga"),IF(E112&lt;22,0,IF(E112&gt;=60,1,ROUND(E112*'Performance Standards'!$AK$185+'Performance Standards'!$AK$186,2))),IF(OR('Quantification Tool'!$B$15="Broad",'Quantification Tool'!$B$15="Catawba",'Quantification Tool'!$B$15="Savannah",'Quantification Tool'!$B$15="Yadkin-PeeDee"),IF(E112&lt;27,0,IF(E112&gt;=60,1,ROUND(E112^2*'Performance Standards'!$AK$219+E112*'Performance Standards'!$AK$220+'Performance Standards'!$AK$221,2))),IF(OR('Quantification Tool'!$B$15="Cape Fear",'Quantification Tool'!$B$15="Neuse",'Quantification Tool'!$B$15="Roanoke",'Quantification Tool'!$B$15="Tar-Pamlico"),IF(E112&lt;26,0,IF(E112&gt;=60,1,ROUND(E112^2*'Performance Standards'!$AK$253+E112*'Performance Standards'!$AK$254+'Performance Standards'!$AK$255,2)))))))</f>
        <v/>
      </c>
      <c r="G112" s="162" t="str">
        <f>IFERROR(AVERAGE(F112),"")</f>
        <v/>
      </c>
      <c r="H112" s="424"/>
      <c r="I112" s="425"/>
      <c r="J112" s="423"/>
      <c r="K112" s="423"/>
      <c r="L112" s="21"/>
    </row>
    <row r="113" spans="1:12" x14ac:dyDescent="0.25">
      <c r="L113" s="21"/>
    </row>
    <row r="114" spans="1:12" x14ac:dyDescent="0.25">
      <c r="L114" s="21"/>
    </row>
    <row r="115" spans="1:12" ht="21" x14ac:dyDescent="0.35">
      <c r="A115" s="323" t="s">
        <v>371</v>
      </c>
      <c r="B115" s="324"/>
      <c r="C115" s="325" t="s">
        <v>372</v>
      </c>
      <c r="D115" s="324"/>
      <c r="E115" s="326"/>
      <c r="F115" s="327"/>
      <c r="G115" s="433" t="s">
        <v>18</v>
      </c>
      <c r="H115" s="434"/>
      <c r="I115" s="434"/>
      <c r="J115" s="434"/>
      <c r="K115" s="435"/>
      <c r="L115" s="21"/>
    </row>
    <row r="116" spans="1:12" ht="15.75" x14ac:dyDescent="0.25">
      <c r="A116" s="271" t="s">
        <v>1</v>
      </c>
      <c r="B116" s="271" t="s">
        <v>2</v>
      </c>
      <c r="C116" s="462" t="s">
        <v>3</v>
      </c>
      <c r="D116" s="464"/>
      <c r="E116" s="271" t="s">
        <v>15</v>
      </c>
      <c r="F116" s="271" t="s">
        <v>16</v>
      </c>
      <c r="G116" s="271" t="s">
        <v>19</v>
      </c>
      <c r="H116" s="271" t="s">
        <v>20</v>
      </c>
      <c r="I116" s="271" t="s">
        <v>20</v>
      </c>
      <c r="J116" s="271" t="s">
        <v>21</v>
      </c>
      <c r="K116" s="95" t="s">
        <v>21</v>
      </c>
    </row>
    <row r="117" spans="1:12" ht="15.75" x14ac:dyDescent="0.25">
      <c r="A117" s="447" t="s">
        <v>78</v>
      </c>
      <c r="B117" s="270" t="s">
        <v>177</v>
      </c>
      <c r="C117" s="257" t="s">
        <v>329</v>
      </c>
      <c r="D117" s="97"/>
      <c r="E117" s="253"/>
      <c r="F117" s="260" t="str">
        <f>IF(E117="","",IF(E117&gt;78,0,IF(E117&lt;30,1,ROUND('Performance Standards'!C$14*E117^2+'Performance Standards'!C$15*E117+'Performance Standards'!C$16,2))))</f>
        <v/>
      </c>
      <c r="G117" s="157" t="str">
        <f>IFERROR(AVERAGE(F117),"")</f>
        <v/>
      </c>
      <c r="H117" s="492" t="str">
        <f>IFERROR(ROUND(AVERAGE(G117:G120),2),"")</f>
        <v/>
      </c>
      <c r="I117" s="425" t="str">
        <f>IF(H117="","",IF(H117&gt;0.69,"Functioning",IF(H117&gt;0.29,"Functioning At Risk",IF(H117&gt;-1,"Not Functioning"))))</f>
        <v/>
      </c>
      <c r="J117" s="423" t="str">
        <f>IF(AND(H117="",H121="",H123="",H142="",H148=""),"",ROUND((IF(H117="",0,H117)*0.2)+(IF(H121="",0,H121)*0.2)+(IF(H123="",0,H123)*0.2)+(IF(H142="",0,H142)*0.2)+(IF(H148="",0,H148)*0.2),2))</f>
        <v/>
      </c>
      <c r="K117" s="423" t="str">
        <f>IF(J117="","",IF(J117&lt;0.3, "Not Functioning",IF(OR(H117&lt;0.7,H121&lt;0.7,H123&lt;0.7,H142&lt;0.7,H148&lt;0.7),"Functioning At Risk",IF(J117&lt;0.7,"Functioning At Risk","Functioning"))))</f>
        <v/>
      </c>
    </row>
    <row r="118" spans="1:12" ht="15.75" x14ac:dyDescent="0.25">
      <c r="A118" s="448"/>
      <c r="B118" s="489" t="s">
        <v>328</v>
      </c>
      <c r="C118" s="257" t="s">
        <v>329</v>
      </c>
      <c r="D118" s="256"/>
      <c r="E118" s="253"/>
      <c r="F118" s="260" t="str">
        <f>IF(E118="","",IF(E118&gt;78,0,IF(E118&lt;30,1,ROUND('Performance Standards'!C$14*E118^2+'Performance Standards'!C$15*E118+'Performance Standards'!C$16,2))))</f>
        <v/>
      </c>
      <c r="G118" s="486" t="str">
        <f>IFERROR(AVERAGE(F118:F120),"")</f>
        <v/>
      </c>
      <c r="H118" s="493"/>
      <c r="I118" s="425"/>
      <c r="J118" s="423"/>
      <c r="K118" s="423"/>
    </row>
    <row r="119" spans="1:12" ht="15.75" x14ac:dyDescent="0.25">
      <c r="A119" s="448"/>
      <c r="B119" s="490"/>
      <c r="C119" s="258" t="s">
        <v>330</v>
      </c>
      <c r="D119" s="97"/>
      <c r="E119" s="304"/>
      <c r="F119" s="98" t="str">
        <f>IF(E119="","",IF(E119&gt;3,0,IF(E119=0,1,ROUND('Performance Standards'!C$48*E119+'Performance Standards'!C$49,2))))</f>
        <v/>
      </c>
      <c r="G119" s="487"/>
      <c r="H119" s="493"/>
      <c r="I119" s="425"/>
      <c r="J119" s="423"/>
      <c r="K119" s="423"/>
    </row>
    <row r="120" spans="1:12" ht="15.75" x14ac:dyDescent="0.25">
      <c r="A120" s="448"/>
      <c r="B120" s="491"/>
      <c r="C120" s="259" t="s">
        <v>331</v>
      </c>
      <c r="D120" s="101"/>
      <c r="E120" s="305"/>
      <c r="F120" s="255" t="str">
        <f>IF(E120="","",IF(E120&gt;=30,1,ROUND('Performance Standards'!$C$83*E120^2+'Performance Standards'!$C$84*E120+'Performance Standards'!$C$85,2)))</f>
        <v/>
      </c>
      <c r="G120" s="488"/>
      <c r="H120" s="493"/>
      <c r="I120" s="425"/>
      <c r="J120" s="423"/>
      <c r="K120" s="423"/>
    </row>
    <row r="121" spans="1:12" ht="15.75" x14ac:dyDescent="0.25">
      <c r="A121" s="445" t="s">
        <v>6</v>
      </c>
      <c r="B121" s="445" t="s">
        <v>7</v>
      </c>
      <c r="C121" s="102" t="s">
        <v>8</v>
      </c>
      <c r="D121" s="102"/>
      <c r="E121" s="304"/>
      <c r="F121" s="103" t="str">
        <f>IF(E121="","",ROUND(IF(E121&gt;1.6,0,IF(E121&lt;=1,1,E121^2*'Performance Standards'!K$14+E121*'Performance Standards'!K$15+'Performance Standards'!K$16)),2))</f>
        <v/>
      </c>
      <c r="G121" s="449" t="str">
        <f>IFERROR(AVERAGE(F121:F122),"")</f>
        <v/>
      </c>
      <c r="H121" s="449" t="str">
        <f>IFERROR(ROUND(AVERAGE(G121),2),"")</f>
        <v/>
      </c>
      <c r="I121" s="436" t="str">
        <f>IF(H121="","",IF(H121&gt;0.69,"Functioning",IF(H121&gt;0.29,"Functioning At Risk",IF(H121&gt;-1,"Not Functioning"))))</f>
        <v/>
      </c>
      <c r="J121" s="423"/>
      <c r="K121" s="423"/>
    </row>
    <row r="122" spans="1:12" ht="15.75" x14ac:dyDescent="0.25">
      <c r="A122" s="446"/>
      <c r="B122" s="446"/>
      <c r="C122" s="104" t="s">
        <v>9</v>
      </c>
      <c r="D122" s="104"/>
      <c r="E122" s="305"/>
      <c r="F122" s="105" t="str">
        <f>IF(E122="","",IF(OR('Quantification Tool'!B$7="A",'Quantification Tool'!B$7="B", 'Quantification Tool'!B$7="Bc"),IF(E122&lt;1.2,0,IF(E122&gt;=2.2,1,ROUND(IF(E122&lt;1.4,E122*'Performance Standards'!$K$84+'Performance Standards'!$K$85,E122*'Performance Standards'!$L$84+'Performance Standards'!$L$85),2))),IF(OR('Quantification Tool'!B$7="C",'Quantification Tool'!B$7="E"),IF(E122&lt;2,0,IF(E122&gt;=5,1,ROUND(IF(E122&lt;2.4,E122*'Performance Standards'!$L$49+'Performance Standards'!$L$50,E122*'Performance Standards'!$K$49+'Performance Standards'!$K$50),2))))))</f>
        <v/>
      </c>
      <c r="G122" s="450"/>
      <c r="H122" s="450"/>
      <c r="I122" s="437"/>
      <c r="J122" s="423"/>
      <c r="K122" s="423"/>
    </row>
    <row r="123" spans="1:12" ht="15.75" x14ac:dyDescent="0.25">
      <c r="A123" s="439" t="s">
        <v>30</v>
      </c>
      <c r="B123" s="439" t="s">
        <v>31</v>
      </c>
      <c r="C123" s="111" t="s">
        <v>27</v>
      </c>
      <c r="D123" s="318"/>
      <c r="E123" s="253"/>
      <c r="F123" s="132" t="str">
        <f>IF(E123="","",IF(E123&gt;700,1,IF(E123&lt;300,ROUND('Performance Standards'!$S$14*(E123^2)+'Performance Standards'!$S$15*E123+'Performance Standards'!$S$16,2),ROUND('Performance Standards'!$T$15*E123+'Performance Standards'!$T$16,2))))</f>
        <v/>
      </c>
      <c r="G123" s="441" t="str">
        <f>IFERROR(AVERAGE(F123:F124),"")</f>
        <v/>
      </c>
      <c r="H123" s="438" t="str">
        <f>IFERROR(ROUND(AVERAGE(G123:G141),2),"")</f>
        <v/>
      </c>
      <c r="I123" s="423" t="str">
        <f>IF(H123="","",IF(H123&gt;0.69,"Functioning",IF(H123&gt;0.29,"Functioning At Risk",IF(H123&gt;-1,"Not Functioning"))))</f>
        <v/>
      </c>
      <c r="J123" s="423"/>
      <c r="K123" s="423"/>
    </row>
    <row r="124" spans="1:12" ht="15.75" x14ac:dyDescent="0.25">
      <c r="A124" s="443"/>
      <c r="B124" s="440"/>
      <c r="C124" s="113" t="s">
        <v>369</v>
      </c>
      <c r="D124" s="317"/>
      <c r="E124" s="305"/>
      <c r="F124" s="319" t="str">
        <f>IF(E124="","",IF(E124&gt;30,1,IF(E124&lt;16,ROUND('Performance Standards'!$S$48*(E124^2)+'Performance Standards'!$S$49*E124+'Performance Standards'!$S$50,2),ROUND('Performance Standards'!$T$49*E124+'Performance Standards'!$T$50,2))))</f>
        <v/>
      </c>
      <c r="G124" s="442"/>
      <c r="H124" s="438"/>
      <c r="I124" s="423"/>
      <c r="J124" s="423"/>
      <c r="K124" s="423"/>
    </row>
    <row r="125" spans="1:12" ht="15.75" x14ac:dyDescent="0.25">
      <c r="A125" s="443"/>
      <c r="B125" s="443" t="s">
        <v>54</v>
      </c>
      <c r="C125" s="111" t="s">
        <v>156</v>
      </c>
      <c r="D125" s="114"/>
      <c r="E125" s="253"/>
      <c r="F125" s="109" t="str">
        <f>IF(E125="","",ROUND(IF(E125&gt;0.7,0,IF(E125&lt;=0.1,1,E125^3*'Performance Standards'!S$83+E125^2*'Performance Standards'!S$84+E125*'Performance Standards'!S$85+'Performance Standards'!S$86)),2))</f>
        <v/>
      </c>
      <c r="G125" s="444" t="str">
        <f>IFERROR(IF(E125="",AVERAGE(F126:F127),IF(E126="",F125,MIN(F125,AVERAGE(F126:F127)))),"")</f>
        <v/>
      </c>
      <c r="H125" s="438"/>
      <c r="I125" s="423"/>
      <c r="J125" s="423"/>
      <c r="K125" s="423"/>
    </row>
    <row r="126" spans="1:12" ht="15.75" x14ac:dyDescent="0.25">
      <c r="A126" s="443"/>
      <c r="B126" s="443"/>
      <c r="C126" s="112" t="s">
        <v>55</v>
      </c>
      <c r="D126" s="108"/>
      <c r="E126" s="304"/>
      <c r="F126" s="109" t="str">
        <f>IF(E126="","",IF(OR(E126="Ex/Ex",E126="Ex/VH"),0, IF(OR(E126="Ex/H",E126="VH/Ex",E126="VH/VH", E126="H/Ex",E126="H/VH",E126="M/Ex"),0.1,IF(OR(E126="Ex/M",E126="VH/H",E126="H/H", E126="M/VH"),0.2, IF(OR(E126="Ex/L",E126="VH/M",E126="H/M", E126="M/H",E126="L/Ex"),0.3, IF(OR(E126="Ex/VL",E126="VH/L",E126="H/L"),0.4, IF(OR(E126="VH/VL",E126="H/VL",E126="M/M", E126="L/VH"),0.5, IF(OR(E126="M/L",E126="L/H"),0.6, IF(OR(E126="M/VL",E126="L/M"),0.7, IF(OR(E126="L/L",E126="L/VL"),1))))))))))</f>
        <v/>
      </c>
      <c r="G126" s="444"/>
      <c r="H126" s="438"/>
      <c r="I126" s="423"/>
      <c r="J126" s="423"/>
      <c r="K126" s="423"/>
    </row>
    <row r="127" spans="1:12" ht="15.75" x14ac:dyDescent="0.25">
      <c r="A127" s="443"/>
      <c r="B127" s="443"/>
      <c r="C127" s="113" t="s">
        <v>192</v>
      </c>
      <c r="D127" s="116"/>
      <c r="E127" s="305"/>
      <c r="F127" s="118" t="str">
        <f>IF(E127="","",ROUND(IF(E127&gt;40,0,IF(E127&lt;5,1,E127^3*'Performance Standards'!S$118+E127^2*'Performance Standards'!S$119+E127*'Performance Standards'!S$120+'Performance Standards'!S$121)),2))</f>
        <v/>
      </c>
      <c r="G127" s="444"/>
      <c r="H127" s="438"/>
      <c r="I127" s="423"/>
      <c r="J127" s="423"/>
      <c r="K127" s="423"/>
    </row>
    <row r="128" spans="1:12" ht="15.75" x14ac:dyDescent="0.25">
      <c r="A128" s="443"/>
      <c r="B128" s="439" t="s">
        <v>56</v>
      </c>
      <c r="C128" s="114" t="s">
        <v>242</v>
      </c>
      <c r="D128" s="114"/>
      <c r="E128" s="253"/>
      <c r="F128" s="132" t="str">
        <f>IF(E128="","",ROUND(IF(E128&gt;90,1,E128^2*'Performance Standards'!S$153+E128*'Performance Standards'!S$154+'Performance Standards'!S$155),2))</f>
        <v/>
      </c>
      <c r="G128" s="441" t="str">
        <f>IFERROR(AVERAGE(F128:F135),"")</f>
        <v/>
      </c>
      <c r="H128" s="438"/>
      <c r="I128" s="423"/>
      <c r="J128" s="423"/>
      <c r="K128" s="423"/>
    </row>
    <row r="129" spans="1:13" ht="15.75" x14ac:dyDescent="0.25">
      <c r="A129" s="443"/>
      <c r="B129" s="443"/>
      <c r="C129" s="108" t="s">
        <v>243</v>
      </c>
      <c r="D129" s="108"/>
      <c r="E129" s="304"/>
      <c r="F129" s="109" t="str">
        <f>IF(E129="","",ROUND(IF(E129&gt;90,1,E129^2*'Performance Standards'!S$153+E129*'Performance Standards'!S$154+'Performance Standards'!S$155),2))</f>
        <v/>
      </c>
      <c r="G129" s="444"/>
      <c r="H129" s="438"/>
      <c r="I129" s="423"/>
      <c r="J129" s="423"/>
      <c r="K129" s="423"/>
    </row>
    <row r="130" spans="1:13" ht="15.75" x14ac:dyDescent="0.25">
      <c r="A130" s="443"/>
      <c r="B130" s="443"/>
      <c r="C130" s="108" t="s">
        <v>170</v>
      </c>
      <c r="D130" s="108"/>
      <c r="E130" s="304"/>
      <c r="F130" s="109" t="str">
        <f>IF(E130="","",ROUND(IF(OR('Quantification Tool'!B$7="A",'Quantification Tool'!B$7="B",'Quantification Tool'!B$7="Bc"),IF(E130&gt;=50,1, IF(E130&lt;30, E130*'Performance Standards'!S$188+'Performance Standards'!S$189, E130*'Performance Standards'!T$188+'Performance Standards'!T$189)), IF(E130&gt;=150,1,IF(E130&lt;48, E130^2*'Performance Standards'!S$222+E130*'Performance Standards'!S$223+'Performance Standards'!S$224, E130*'Performance Standards'!T$223+'Performance Standards'!T$224))),2))</f>
        <v/>
      </c>
      <c r="G130" s="444"/>
      <c r="H130" s="438"/>
      <c r="I130" s="423"/>
      <c r="J130" s="423"/>
      <c r="K130" s="423"/>
    </row>
    <row r="131" spans="1:13" ht="15.75" x14ac:dyDescent="0.25">
      <c r="A131" s="443"/>
      <c r="B131" s="443"/>
      <c r="C131" s="108" t="s">
        <v>171</v>
      </c>
      <c r="D131" s="108"/>
      <c r="E131" s="304"/>
      <c r="F131" s="109" t="str">
        <f>IF(E131="","",ROUND(IF(OR('Quantification Tool'!B$7="A",'Quantification Tool'!B$7="B",'Quantification Tool'!B$7="Bc"),IF(E131&gt;=50,1, IF(E131&lt;30, E131*'Performance Standards'!S$188+'Performance Standards'!S$189, E131*'Performance Standards'!T$188+'Performance Standards'!T$189)), IF(E131&gt;=150,1,IF(E131&lt;48, E131^2*'Performance Standards'!S$222+E131*'Performance Standards'!S$223+'Performance Standards'!S$224, E131*'Performance Standards'!T$223+'Performance Standards'!T$224))),2))</f>
        <v/>
      </c>
      <c r="G131" s="444"/>
      <c r="H131" s="438"/>
      <c r="I131" s="423"/>
      <c r="J131" s="423"/>
      <c r="K131" s="423"/>
    </row>
    <row r="132" spans="1:13" ht="15.75" x14ac:dyDescent="0.25">
      <c r="A132" s="443"/>
      <c r="B132" s="443"/>
      <c r="C132" s="108" t="s">
        <v>251</v>
      </c>
      <c r="D132" s="108"/>
      <c r="E132" s="304"/>
      <c r="F132" s="109" t="str">
        <f>IF(E132="","",ROUND(IF(E132&gt;100,1,E132^2*'Performance Standards'!S$255+E132*'Performance Standards'!S$256+'Performance Standards'!S$257),2))</f>
        <v/>
      </c>
      <c r="G132" s="444"/>
      <c r="H132" s="438"/>
      <c r="I132" s="423"/>
      <c r="J132" s="423"/>
      <c r="K132" s="423"/>
    </row>
    <row r="133" spans="1:13" ht="15.75" x14ac:dyDescent="0.25">
      <c r="A133" s="443"/>
      <c r="B133" s="443"/>
      <c r="C133" s="108" t="s">
        <v>252</v>
      </c>
      <c r="D133" s="108"/>
      <c r="E133" s="304"/>
      <c r="F133" s="109" t="str">
        <f>IF(E133="","",ROUND(IF(E133&gt;100,1,E133^2*'Performance Standards'!S$255+E133*'Performance Standards'!S$256+'Performance Standards'!S$257),2))</f>
        <v/>
      </c>
      <c r="G133" s="444"/>
      <c r="H133" s="438"/>
      <c r="I133" s="423"/>
      <c r="J133" s="423"/>
      <c r="K133" s="423"/>
    </row>
    <row r="134" spans="1:13" ht="15.75" x14ac:dyDescent="0.25">
      <c r="A134" s="443"/>
      <c r="B134" s="443"/>
      <c r="C134" s="112" t="s">
        <v>342</v>
      </c>
      <c r="D134" s="108"/>
      <c r="E134" s="304"/>
      <c r="F134" s="109" t="str">
        <f>IF(E134="","",ROUND(IF(E134&gt;=260,0.5,E134*'Performance Standards'!S$288+'Performance Standards'!S$289),2))</f>
        <v/>
      </c>
      <c r="G134" s="444"/>
      <c r="H134" s="438"/>
      <c r="I134" s="423"/>
      <c r="J134" s="423"/>
      <c r="K134" s="423"/>
      <c r="M134" s="21"/>
    </row>
    <row r="135" spans="1:13" ht="15.75" x14ac:dyDescent="0.25">
      <c r="A135" s="443"/>
      <c r="B135" s="440"/>
      <c r="C135" s="113" t="s">
        <v>343</v>
      </c>
      <c r="D135" s="108"/>
      <c r="E135" s="304"/>
      <c r="F135" s="219" t="str">
        <f>IF(E135="","",ROUND(IF(E135&gt;=260,0.5,E135*'Performance Standards'!S$288+'Performance Standards'!S$289),2))</f>
        <v/>
      </c>
      <c r="G135" s="442"/>
      <c r="H135" s="438"/>
      <c r="I135" s="423"/>
      <c r="J135" s="423"/>
      <c r="K135" s="423"/>
    </row>
    <row r="136" spans="1:13" ht="15.75" x14ac:dyDescent="0.25">
      <c r="A136" s="443"/>
      <c r="B136" s="106" t="s">
        <v>254</v>
      </c>
      <c r="C136" s="131" t="s">
        <v>345</v>
      </c>
      <c r="D136" s="107"/>
      <c r="E136" s="87"/>
      <c r="F136" s="109" t="str">
        <f>IF(E136="","",IF('Quantification Tool'!B$10="Gravel",IF(E136&gt;0.1,1,IF(E136&lt;=0.01,0,ROUND(E136*'Performance Standards'!$S$323+'Performance Standards'!$S$324,2)))))</f>
        <v/>
      </c>
      <c r="G136" s="155" t="str">
        <f>IFERROR(AVERAGE(F136),"")</f>
        <v/>
      </c>
      <c r="H136" s="438"/>
      <c r="I136" s="423"/>
      <c r="J136" s="423"/>
      <c r="K136" s="423"/>
    </row>
    <row r="137" spans="1:13" ht="15.75" x14ac:dyDescent="0.25">
      <c r="A137" s="443"/>
      <c r="B137" s="439" t="s">
        <v>57</v>
      </c>
      <c r="C137" s="111" t="s">
        <v>58</v>
      </c>
      <c r="D137" s="114"/>
      <c r="E137" s="253"/>
      <c r="F137" s="310" t="str">
        <f>IF(E137="","",IF('Quantification Tool'!B$13&gt;=4,IF(AND(E137&lt;=5,E137&gt;=0.1),1,IF(OR(E137&lt;0.1,E137&gt;8),0,ROUND(E137*'Performance Standards'!$S$357+'Performance Standards'!$S$358,2))), IF(AND('Quantification Tool'!B$9&gt;=10,OR('Quantification Tool'!B$7="C",'Quantification Tool'!B$7="E")),IF(OR(E137&lt;3,E137&gt;8),0,IF(AND(E137&gt;=4,E137&lt;=7),1,ROUND(E137^2*'Performance Standards'!$S$389+E137*'Performance Standards'!$S$390+'Performance Standards'!$S$391,2))),  IF(AND('Quantification Tool'!B$9&lt;10,OR('Quantification Tool'!B$7="C",'Quantification Tool'!B$7="E")),IF(OR(E137&lt;3,E137&gt;7),0,IF(E137&lt;4,ROUND(E137*'Performance Standards'!$S$423+'Performance Standards'!$S$424,2), IF(E137&gt;5, ROUND(E137*'Performance Standards'!$T$423+'Performance Standards'!T$424,2),1))),IF(OR(AND('Quantification Tool'!B$13&lt;2,'Quantification Tool'!B$7="Bc"),AND('Quantification Tool'!B$13&gt;=2,'Quantification Tool'!B$13&lt;=4,'Quantification Tool'!B$7="B")),ROUND(IF(E137&gt;8,0,IF(E137&lt;=0.6,1,E137^2*'Performance Standards'!$S$455+E137*'Performance Standards'!$S$456+'Performance Standards'!$S$457)),2))))))</f>
        <v/>
      </c>
      <c r="G137" s="441" t="str">
        <f>IFERROR(AVERAGE(F137:F140),"")</f>
        <v/>
      </c>
      <c r="H137" s="438"/>
      <c r="I137" s="423"/>
      <c r="J137" s="423"/>
      <c r="K137" s="423"/>
    </row>
    <row r="138" spans="1:13" ht="15.75" x14ac:dyDescent="0.25">
      <c r="A138" s="443"/>
      <c r="B138" s="443"/>
      <c r="C138" s="112" t="s">
        <v>59</v>
      </c>
      <c r="D138" s="108"/>
      <c r="E138" s="304"/>
      <c r="F138" s="311" t="str">
        <f>IF(E138="","",IF(E138&lt;=1.1,0,IF(OR('Quantification Tool'!B$7="A", 'Quantification Tool'!B$7="B", 'Quantification Tool'!B$7="Bc"),IF(E138&gt;1.74,1,ROUND(IF(E138&lt;1.2,E138*'Performance Standards'!S$556+'Performance Standards'!S$557,E138*'Performance Standards'!T$556+'Performance Standards'!T$557),2)),IF(OR('Quantification Tool'!B$7="C", 'Quantification Tool'!B$7="E"),IF('Quantification Tool'!B$10="Gravel",IF(E138&gt;1.74,1,ROUND(IF(E138&lt;1.2,E138*'Performance Standards'!S$489+'Performance Standards'!S$490,E138*'Performance Standards'!T$489+'Performance Standards'!T$490),2)),IF('Quantification Tool'!B$10="Sand",IF(E138&gt;=1.25,1,ROUND(E138^2*'Performance Standards'!S$521+E138*'Performance Standards'!S$522+'Performance Standards'!S$523,2))))))))</f>
        <v/>
      </c>
      <c r="G138" s="444"/>
      <c r="H138" s="438"/>
      <c r="I138" s="423"/>
      <c r="J138" s="423"/>
      <c r="K138" s="423"/>
    </row>
    <row r="139" spans="1:13" ht="15.75" x14ac:dyDescent="0.25">
      <c r="A139" s="443"/>
      <c r="B139" s="443"/>
      <c r="C139" s="112" t="s">
        <v>62</v>
      </c>
      <c r="D139" s="108"/>
      <c r="E139" s="304"/>
      <c r="F139" s="312" t="str">
        <f>IF(E139="","",IF('Quantification Tool'!B$13="","Need Slope",IF('Quantification Tool'!B$13&lt;3,ROUND(IF(OR(E139&gt;83,E139&lt;32),0, IF(E139&lt;60,E139*'Performance Standards'!S$591+'Performance Standards'!S$592,IF(E139&gt;70,E139^2*'Performance Standards'!T$590+E139*'Performance Standards'!T$591+'Performance Standards'!T$592,1))),2),IF('Quantification Tool'!B$13&gt;10,ROUND(IF(E139&gt;=80,1,IF(E139&lt;67,0,E139^2*'Performance Standards'!S$657+E139*'Performance Standards'!S$658+'Performance Standards'!S$659)),2),IF(OR(E139&gt;76, E139&lt;34),0,IF(AND(E139&gt;49,E139&lt;61),1,ROUND(IF(E139&lt;50,E139*'Performance Standards'!S$625+'Performance Standards'!S$626,E139*'Performance Standards'!T$625+'Performance Standards'!T$626),2)))))))</f>
        <v/>
      </c>
      <c r="G139" s="444"/>
      <c r="H139" s="438"/>
      <c r="I139" s="423"/>
      <c r="J139" s="423"/>
      <c r="K139" s="423"/>
    </row>
    <row r="140" spans="1:13" ht="15.75" x14ac:dyDescent="0.25">
      <c r="A140" s="443"/>
      <c r="B140" s="440"/>
      <c r="C140" s="116" t="s">
        <v>363</v>
      </c>
      <c r="D140" s="116"/>
      <c r="E140" s="305"/>
      <c r="F140" s="117" t="str">
        <f>IF(E140="","",IF(E140&gt;=1.6,0,IF(E140&lt;=1,1,ROUND('Performance Standards'!$S$689*E140^3+'Performance Standards'!$S$690*E140^2+'Performance Standards'!$S$691*E140+'Performance Standards'!$S$692,2))))</f>
        <v/>
      </c>
      <c r="G140" s="442"/>
      <c r="H140" s="438"/>
      <c r="I140" s="423"/>
      <c r="J140" s="423"/>
      <c r="K140" s="423"/>
    </row>
    <row r="141" spans="1:13" ht="15.75" x14ac:dyDescent="0.25">
      <c r="A141" s="440"/>
      <c r="B141" s="320" t="s">
        <v>64</v>
      </c>
      <c r="C141" s="116" t="s">
        <v>63</v>
      </c>
      <c r="D141" s="116"/>
      <c r="E141" s="305"/>
      <c r="F141" s="118" t="str">
        <f>IF(E141="","",IF(AND('Quantification Tool'!B$7="E",'Quantification Tool'!$B$10="Sand",'Quantification Tool'!$B$18="Unconfined Alluvial"),ROUND(IF(OR(E141&gt;1.8,E141&lt;1.3),0,IF(E141&lt;=1.6,1,E141*'Performance Standards'!$S$723+'Performance Standards'!$S$724)),2),    IF('Quantification Tool'!$B$18="Unconfined Alluvial",ROUND(IF(OR(E141&lt;1.2, E141&gt;1.5),0,IF(E141&lt;=1.4,1,E141*'Performance Standards'!$S$756+'Performance Standards'!$S$757)),2), IF('Quantification Tool'!$B$18="Confined Alluvial",ROUND(IF(E141&lt;1.15,0,IF(E141&lt;=1.4,E141*'Performance Standards'!$S$785+'Performance Standards'!$S$786,1)),2),  IF('Quantification Tool'!$B$18="Colluvial",ROUND(IF(E141&gt;1.3,0,IF(E141&gt;1.2,E141*'Performance Standards'!$S$815+'Performance Standards'!$S$816,1)),2) )))))</f>
        <v/>
      </c>
      <c r="G141" s="158" t="str">
        <f>IFERROR(AVERAGE(F141),"")</f>
        <v/>
      </c>
      <c r="H141" s="438"/>
      <c r="I141" s="423"/>
      <c r="J141" s="423"/>
      <c r="K141" s="423"/>
      <c r="L141" s="13"/>
    </row>
    <row r="142" spans="1:13" ht="15.75" x14ac:dyDescent="0.25">
      <c r="A142" s="431" t="s">
        <v>68</v>
      </c>
      <c r="B142" s="122" t="s">
        <v>161</v>
      </c>
      <c r="C142" s="133" t="s">
        <v>438</v>
      </c>
      <c r="D142" s="123"/>
      <c r="E142" s="87"/>
      <c r="F142" s="124" t="str">
        <f>IF(E142="","",IF('Quantification Tool'!$B$16="Coldwater",IF(E142&gt;77,0,IF(E142&lt;59,1,ROUND(E142*'Performance Standards'!$AB$15+'Performance Standards'!$AB$16,2))),IF('Quantification Tool'!$B$16="Coolwater",IF(E142&gt;97,0,IF(E142&lt;67,1,ROUND(E142*'Performance Standards'!$AC$15+'Performance Standards'!$AC$16,2))))))</f>
        <v/>
      </c>
      <c r="G142" s="159" t="str">
        <f>IFERROR(AVERAGE(F142),"")</f>
        <v/>
      </c>
      <c r="H142" s="426" t="str">
        <f>IFERROR(ROUND(AVERAGE(G142:G147),2),"")</f>
        <v/>
      </c>
      <c r="I142" s="425" t="str">
        <f>IF(H142="","",IF(H142&gt;0.69,"Functioning",IF(H142&gt;0.29,"Functioning At Risk",IF(H142&gt;-1,"Not Functioning"))))</f>
        <v/>
      </c>
      <c r="J142" s="423"/>
      <c r="K142" s="423"/>
      <c r="L142" s="13"/>
    </row>
    <row r="143" spans="1:13" ht="15.75" x14ac:dyDescent="0.25">
      <c r="A143" s="430"/>
      <c r="B143" s="268" t="s">
        <v>194</v>
      </c>
      <c r="C143" s="127" t="s">
        <v>197</v>
      </c>
      <c r="D143" s="120"/>
      <c r="E143" s="304"/>
      <c r="F143" s="121" t="str">
        <f>IF(E143="","",ROUND(IF(E143&gt;=284,0,E143*'Performance Standards'!AB$116+'Performance Standards'!AB$117),2))</f>
        <v/>
      </c>
      <c r="G143" s="159" t="str">
        <f>IFERROR(AVERAGE(F143),"")</f>
        <v/>
      </c>
      <c r="H143" s="426"/>
      <c r="I143" s="425"/>
      <c r="J143" s="423"/>
      <c r="K143" s="423"/>
      <c r="L143" s="21"/>
    </row>
    <row r="144" spans="1:13" ht="15.75" x14ac:dyDescent="0.25">
      <c r="A144" s="430"/>
      <c r="B144" s="430" t="s">
        <v>195</v>
      </c>
      <c r="C144" s="263" t="s">
        <v>92</v>
      </c>
      <c r="D144" s="215"/>
      <c r="E144" s="253"/>
      <c r="F144" s="134" t="str">
        <f>IF(E144="","",IF(OR(E144&lt;0.5,E144&gt;2), 0, ROUND(IF(E144&lt;0.75, E144*'Performance Standards'!$AB$153+'Performance Standards'!$AB$154, IF(E144&lt;=1.33, E144*'Performance Standards'!$AC$153+'Performance Standards'!$AC$154,E144*'Performance Standards'!$AD$153+'Performance Standards'!$AD$154)),2)))</f>
        <v/>
      </c>
      <c r="G144" s="456" t="str">
        <f>IFERROR(AVERAGE(F144:F145),"")</f>
        <v/>
      </c>
      <c r="H144" s="426"/>
      <c r="I144" s="425"/>
      <c r="J144" s="423"/>
      <c r="K144" s="423"/>
      <c r="L144" s="21"/>
    </row>
    <row r="145" spans="1:12" ht="15.75" x14ac:dyDescent="0.25">
      <c r="A145" s="430"/>
      <c r="B145" s="430"/>
      <c r="C145" s="135" t="s">
        <v>193</v>
      </c>
      <c r="D145" s="127"/>
      <c r="E145" s="305"/>
      <c r="F145" s="121" t="str">
        <f>IF(E145="","",IF('Quantification Tool'!$B$8 = "Mountains", IF('Quantification Tool'!$B$9 &lt;=5, IF( 'Quantification Tool'!$B$17= "Winter/Spring", ROUND(IF(E145&gt;=23,1,E145*'Performance Standards'!$AB$188+'Performance Standards'!$AB$189),2), IF('Quantification Tool'!$B$17= "Summer", ROUND(IF(E145&gt;=21,1,E145*'Performance Standards'!$AC$188),2), IF('Quantification Tool'!$B$17= "Fall", ROUND(IF(E145&gt;=18,1,E145*'Performance Standards'!$AD$188),2)))), IF('Quantification Tool'!$B$9&lt;10, IF('Quantification Tool'!$B$17= "Winter/Spring", ROUND(IF(E145&gt;16,1,E145*'Performance Standards'!$AB$222),2),IF('Quantification Tool'!$B$17= "Summer",ROUND(IF(E145&gt;14,1,E145*'Performance Standards'!$AC$222),2), IF('Quantification Tool'!$B$17= "Fall",ROUND(IF(E145&gt;12,1,E145*'Performance Standards'!$AD$222),2)))), IF('Quantification Tool'!$B$17= "Winter/Spring", ROUND(IF(E145&gt;14,1,E145*'Performance Standards'!$AB$256),2),IF('Quantification Tool'!$B$17= "Summer",ROUND(IF(E145&gt;16,1,E145*'Performance Standards'!$AC$256),2), IF('Quantification Tool'!$B$17= "Fall",ROUND(IF(E145&gt;15,1,E145*'Performance Standards'!$AD$256),2)))))), IF('Quantification Tool'!$B$8 = "Piedmont",  IF('Quantification Tool'!$B$9 &lt;=5, IF( 'Quantification Tool'!$B$17= "Winter/Spring", ROUND(IF(E145&gt;=18,1,E145*'Performance Standards'!$AB$290),2), IF('Quantification Tool'!$B$17= "Summer", ROUND(IF(E145&gt;=12,1,E145*'Performance Standards'!$AC$290),2), IF('Quantification Tool'!$B$17= "Fall", ROUND(IF(E145&gt;=14,1,E145*'Performance Standards'!$AD$290),2)))), IF('Quantification Tool'!$B$9&lt;10, IF('Quantification Tool'!$B$17= "Winter/Spring", ROUND(IF(E145&gt;12,1,E145*'Performance Standards'!$AB$326),2),IF('Quantification Tool'!$B$17= "Summer",ROUND(IF(E145&gt;5,1,E145*'Performance Standards'!$AC$326),2), IF('Quantification Tool'!$B$17= "Fall",ROUND(IF(E145&gt;8,1,E145*'Performance Standards'!$AD$326),2)))), IF('Quantification Tool'!$B$17= "Winter/Spring", ROUND(IF(E145&gt;8,1,E145*'Performance Standards'!$AB$360),2),IF('Quantification Tool'!$B$17= "Summer",ROUND(IF(E145&gt;7,1,E145*'Performance Standards'!$AC$360),2), IF('Quantification Tool'!$B$17= "Fall",ROUND(IF(E145&gt;8,1,E145*'Performance Standards'!$AD$360),2)))))),IF('Quantification Tool'!$B$8 = "Coastal Plain", IF('Quantification Tool'!$B$9 &lt;=5, IF( 'Quantification Tool'!$B$17= "Winter/Spring", ROUND(IF(E145&gt;=33,1,E145*'Performance Standards'!$AB$392),2), IF('Quantification Tool'!$B$17= "Summer", ROUND(IF(E145&gt;=14,1,E145*'Performance Standards'!$AC$392),2), IF('Quantification Tool'!$B$17= "Fall", ROUND(IF(E145&gt;=25,1,E145*'Performance Standards'!$AD$392),2)))), IF('Quantification Tool'!$B$9&lt;10, IF('Quantification Tool'!$B$17= "Winter/Spring", ROUND(IF(E145&gt;20,1,E145*'Performance Standards'!$AB$424),2),IF('Quantification Tool'!$B$17= "Summer",ROUND(IF(E145&gt;13,1,E145*'Performance Standards'!$AC$424),2), IF('Quantification Tool'!$B$17= "Fall",ROUND(IF(E145&gt;12,1,E145*'Performance Standards'!$AD$424),2)))), IF('Quantification Tool'!$B$17= "Winter/Spring", ROUND(IF(E145&gt;17,1,E145*'Performance Standards'!$AB$458),2),IF('Quantification Tool'!$B$17= "Summer",ROUND(IF(E145&gt;16,1,E145*'Performance Standards'!$AC$458),2), IF('Quantification Tool'!$B$17= "Fall",ROUND(IF(E145&gt;8,1,E145*'Performance Standards'!$AD$458),2))))))))))</f>
        <v/>
      </c>
      <c r="G145" s="457"/>
      <c r="H145" s="426"/>
      <c r="I145" s="425"/>
      <c r="J145" s="423"/>
      <c r="K145" s="423"/>
      <c r="L145" s="21"/>
    </row>
    <row r="146" spans="1:12" ht="15.75" x14ac:dyDescent="0.25">
      <c r="A146" s="430"/>
      <c r="B146" s="122" t="s">
        <v>162</v>
      </c>
      <c r="C146" s="377" t="s">
        <v>446</v>
      </c>
      <c r="D146" s="378"/>
      <c r="E146" s="304"/>
      <c r="F146" s="125" t="str">
        <f>IF(E146="","",IF(E146&gt;4,0,ROUND(E146^2*'Performance Standards'!$AB$488+E146*'Performance Standards'!$AB$489+'Performance Standards'!$AB$490,2)))</f>
        <v/>
      </c>
      <c r="G146" s="161" t="str">
        <f>IFERROR(AVERAGE(F146),"")</f>
        <v/>
      </c>
      <c r="H146" s="426"/>
      <c r="I146" s="425"/>
      <c r="J146" s="423"/>
      <c r="K146" s="423"/>
      <c r="L146" s="21"/>
    </row>
    <row r="147" spans="1:12" ht="15.75" x14ac:dyDescent="0.25">
      <c r="A147" s="432"/>
      <c r="B147" s="268" t="s">
        <v>163</v>
      </c>
      <c r="C147" s="377" t="s">
        <v>447</v>
      </c>
      <c r="D147" s="378"/>
      <c r="E147" s="253"/>
      <c r="F147" s="121" t="str">
        <f>IF(E147="","",IF(E147&gt;0.23,0,ROUND(E147^2*'Performance Standards'!$AB$521+E147*'Performance Standards'!$AB$522+'Performance Standards'!$AB$523,2)))</f>
        <v/>
      </c>
      <c r="G147" s="159" t="str">
        <f>IFERROR(AVERAGE(F147),"")</f>
        <v/>
      </c>
      <c r="H147" s="426"/>
      <c r="I147" s="425"/>
      <c r="J147" s="423"/>
      <c r="K147" s="423"/>
      <c r="L147" s="21"/>
    </row>
    <row r="148" spans="1:12" ht="15.75" x14ac:dyDescent="0.25">
      <c r="A148" s="427" t="s">
        <v>70</v>
      </c>
      <c r="B148" s="451" t="s">
        <v>93</v>
      </c>
      <c r="C148" s="226" t="s">
        <v>253</v>
      </c>
      <c r="D148" s="227"/>
      <c r="E148" s="253"/>
      <c r="F148" s="228" t="str">
        <f>IF(E148="","",IF('Quantification Tool'!B$8="Mountains",IF(E148&gt;6.52,0,IF(E148&lt;3.3,1,ROUND(IF(E148&gt;5.62,E148*'Performance Standards'!AL$15+'Performance Standards'!AL$16, E148^2*'Performance Standards'!AK$15+E148*'Performance Standards'!AK$16+'Performance Standards'!AK$17),2))),IF('Quantification Tool'!B$8="Piedmont",IF(E148&gt;6.91,0, IF(E148&lt;4.31,1, ROUND(IF(E148&gt;5.85, E148*'Performance Standards'!$AL$49+'Performance Standards'!$AL$50, E148^2*'Performance Standards'!AK$49+E148*'Performance Standards'!AK$50+'Performance Standards'!AK$51),2))))))</f>
        <v/>
      </c>
      <c r="G148" s="460" t="str">
        <f>IFERROR(AVERAGE(F148:F149),"")</f>
        <v/>
      </c>
      <c r="H148" s="424" t="str">
        <f>IFERROR(ROUND(AVERAGE(G148:G150),2),"")</f>
        <v/>
      </c>
      <c r="I148" s="425" t="str">
        <f>IF(H148="","",IF(H148&gt;0.69,"Functioning",IF(H148&gt;0.29,"Functioning At Risk",IF(H148&gt;-1,"Not Functioning"))))</f>
        <v/>
      </c>
      <c r="J148" s="423"/>
      <c r="K148" s="423"/>
      <c r="L148" s="21"/>
    </row>
    <row r="149" spans="1:12" ht="15.75" x14ac:dyDescent="0.25">
      <c r="A149" s="428"/>
      <c r="B149" s="452"/>
      <c r="C149" s="229" t="s">
        <v>264</v>
      </c>
      <c r="D149" s="128"/>
      <c r="E149" s="305"/>
      <c r="F149" s="230" t="str">
        <f>IF(E149="","",ROUND(IF('Quantification Tool'!B$8="Mountains", IF(E149&lt;11,0,IF(E149&gt;35,1,E149^3*'Performance Standards'!AK$83+E149^2*'Performance Standards'!AK$84+E149*'Performance Standards'!AK$85+'Performance Standards'!AK$86)),IF('Quantification Tool'!B$8 = "Piedmont", IF(E149&lt;7,0,IF(E149&gt;27,1,E149^3*'Performance Standards'!AK$116+E149^2*'Performance Standards'!AK$117+E149*'Performance Standards'!AK$118+'Performance Standards'!AK$119)), IF('Quantification Tool'!B$8="Coastal Plain",IF(E149&lt;6,0,IF(E149&gt;23,1,E149^3*'Performance Standards'!AK$151+E149^2*'Performance Standards'!AK$152+E149*'Performance Standards'!AK$153+'Performance Standards'!AK$154))))),2))</f>
        <v/>
      </c>
      <c r="G149" s="461"/>
      <c r="H149" s="424"/>
      <c r="I149" s="425"/>
      <c r="J149" s="423"/>
      <c r="K149" s="423"/>
      <c r="L149" s="21"/>
    </row>
    <row r="150" spans="1:12" ht="15.75" x14ac:dyDescent="0.25">
      <c r="A150" s="429"/>
      <c r="B150" s="269" t="s">
        <v>146</v>
      </c>
      <c r="C150" s="128" t="s">
        <v>147</v>
      </c>
      <c r="D150" s="128"/>
      <c r="E150" s="305"/>
      <c r="F150" s="130" t="str">
        <f>IF(E150="","",IF(OR('Quantification Tool'!$B$15="French Broad",'Quantification Tool'!$B$15="Hiwassee",'Quantification Tool'!$B$15="Little Tennessee",'Quantification Tool'!$B$15="New",'Quantification Tool'!$B$15="Watauga"),IF(E150&lt;22,0,IF(E150&gt;=60,1,ROUND(E150*'Performance Standards'!$AK$185+'Performance Standards'!$AK$186,2))),IF(OR('Quantification Tool'!$B$15="Broad",'Quantification Tool'!$B$15="Catawba",'Quantification Tool'!$B$15="Savannah",'Quantification Tool'!$B$15="Yadkin-PeeDee"),IF(E150&lt;27,0,IF(E150&gt;=60,1,ROUND(E150^2*'Performance Standards'!$AK$219+E150*'Performance Standards'!$AK$220+'Performance Standards'!$AK$221,2))),IF(OR('Quantification Tool'!$B$15="Cape Fear",'Quantification Tool'!$B$15="Neuse",'Quantification Tool'!$B$15="Roanoke",'Quantification Tool'!$B$15="Tar-Pamlico"),IF(E150&lt;26,0,IF(E150&gt;=60,1,ROUND(E150^2*'Performance Standards'!$AK$253+E150*'Performance Standards'!$AK$254+'Performance Standards'!$AK$255,2)))))))</f>
        <v/>
      </c>
      <c r="G150" s="162" t="str">
        <f>IFERROR(AVERAGE(F150),"")</f>
        <v/>
      </c>
      <c r="H150" s="424"/>
      <c r="I150" s="425"/>
      <c r="J150" s="423"/>
      <c r="K150" s="423"/>
      <c r="L150" s="21"/>
    </row>
    <row r="151" spans="1:12" x14ac:dyDescent="0.25">
      <c r="L151" s="21"/>
    </row>
    <row r="152" spans="1:12" x14ac:dyDescent="0.25">
      <c r="L152" s="21"/>
    </row>
    <row r="153" spans="1:12" ht="21" x14ac:dyDescent="0.35">
      <c r="A153" s="323" t="s">
        <v>371</v>
      </c>
      <c r="B153" s="324"/>
      <c r="C153" s="325" t="s">
        <v>372</v>
      </c>
      <c r="D153" s="324"/>
      <c r="E153" s="326"/>
      <c r="F153" s="327"/>
      <c r="G153" s="433" t="s">
        <v>18</v>
      </c>
      <c r="H153" s="434"/>
      <c r="I153" s="434"/>
      <c r="J153" s="434"/>
      <c r="K153" s="435"/>
      <c r="L153" s="21"/>
    </row>
    <row r="154" spans="1:12" ht="15.75" x14ac:dyDescent="0.25">
      <c r="A154" s="271" t="s">
        <v>1</v>
      </c>
      <c r="B154" s="271" t="s">
        <v>2</v>
      </c>
      <c r="C154" s="462" t="s">
        <v>3</v>
      </c>
      <c r="D154" s="464"/>
      <c r="E154" s="271" t="s">
        <v>15</v>
      </c>
      <c r="F154" s="271" t="s">
        <v>16</v>
      </c>
      <c r="G154" s="271" t="s">
        <v>19</v>
      </c>
      <c r="H154" s="271" t="s">
        <v>20</v>
      </c>
      <c r="I154" s="271" t="s">
        <v>20</v>
      </c>
      <c r="J154" s="271" t="s">
        <v>21</v>
      </c>
      <c r="K154" s="95" t="s">
        <v>21</v>
      </c>
    </row>
    <row r="155" spans="1:12" ht="15.75" x14ac:dyDescent="0.25">
      <c r="A155" s="447" t="s">
        <v>78</v>
      </c>
      <c r="B155" s="270" t="s">
        <v>177</v>
      </c>
      <c r="C155" s="257" t="s">
        <v>329</v>
      </c>
      <c r="D155" s="97"/>
      <c r="E155" s="253"/>
      <c r="F155" s="260" t="str">
        <f>IF(E155="","",IF(E155&gt;78,0,IF(E155&lt;30,1,ROUND('Performance Standards'!C$14*E155^2+'Performance Standards'!C$15*E155+'Performance Standards'!C$16,2))))</f>
        <v/>
      </c>
      <c r="G155" s="157" t="str">
        <f>IFERROR(AVERAGE(F155),"")</f>
        <v/>
      </c>
      <c r="H155" s="492" t="str">
        <f>IFERROR(ROUND(AVERAGE(G155:G158),2),"")</f>
        <v/>
      </c>
      <c r="I155" s="425" t="str">
        <f>IF(H155="","",IF(H155&gt;0.69,"Functioning",IF(H155&gt;0.29,"Functioning At Risk",IF(H155&gt;-1,"Not Functioning"))))</f>
        <v/>
      </c>
      <c r="J155" s="423" t="str">
        <f>IF(AND(H155="",H159="",H161="",H180="",H186=""),"",ROUND((IF(H155="",0,H155)*0.2)+(IF(H159="",0,H159)*0.2)+(IF(H161="",0,H161)*0.2)+(IF(H180="",0,H180)*0.2)+(IF(H186="",0,H186)*0.2),2))</f>
        <v/>
      </c>
      <c r="K155" s="423" t="str">
        <f>IF(J155="","",IF(J155&lt;0.3, "Not Functioning",IF(OR(H155&lt;0.7,H159&lt;0.7,H161&lt;0.7,H180&lt;0.7,H186&lt;0.7),"Functioning At Risk",IF(J155&lt;0.7,"Functioning At Risk","Functioning"))))</f>
        <v/>
      </c>
    </row>
    <row r="156" spans="1:12" ht="15.75" x14ac:dyDescent="0.25">
      <c r="A156" s="448"/>
      <c r="B156" s="489" t="s">
        <v>328</v>
      </c>
      <c r="C156" s="257" t="s">
        <v>329</v>
      </c>
      <c r="D156" s="256"/>
      <c r="E156" s="253"/>
      <c r="F156" s="260" t="str">
        <f>IF(E156="","",IF(E156&gt;78,0,IF(E156&lt;30,1,ROUND('Performance Standards'!C$14*E156^2+'Performance Standards'!C$15*E156+'Performance Standards'!C$16,2))))</f>
        <v/>
      </c>
      <c r="G156" s="486" t="str">
        <f>IFERROR(AVERAGE(F156:F158),"")</f>
        <v/>
      </c>
      <c r="H156" s="493"/>
      <c r="I156" s="425"/>
      <c r="J156" s="423"/>
      <c r="K156" s="423"/>
    </row>
    <row r="157" spans="1:12" ht="15.75" x14ac:dyDescent="0.25">
      <c r="A157" s="448"/>
      <c r="B157" s="490"/>
      <c r="C157" s="258" t="s">
        <v>330</v>
      </c>
      <c r="D157" s="97"/>
      <c r="E157" s="304"/>
      <c r="F157" s="98" t="str">
        <f>IF(E157="","",IF(E157&gt;3,0,IF(E157=0,1,ROUND('Performance Standards'!C$48*E157+'Performance Standards'!C$49,2))))</f>
        <v/>
      </c>
      <c r="G157" s="487"/>
      <c r="H157" s="493"/>
      <c r="I157" s="425"/>
      <c r="J157" s="423"/>
      <c r="K157" s="423"/>
    </row>
    <row r="158" spans="1:12" ht="15.75" x14ac:dyDescent="0.25">
      <c r="A158" s="448"/>
      <c r="B158" s="491"/>
      <c r="C158" s="259" t="s">
        <v>331</v>
      </c>
      <c r="D158" s="101"/>
      <c r="E158" s="305"/>
      <c r="F158" s="255" t="str">
        <f>IF(E158="","",IF(E158&gt;=30,1,ROUND('Performance Standards'!$C$83*E158^2+'Performance Standards'!$C$84*E158+'Performance Standards'!$C$85,2)))</f>
        <v/>
      </c>
      <c r="G158" s="488"/>
      <c r="H158" s="493"/>
      <c r="I158" s="425"/>
      <c r="J158" s="423"/>
      <c r="K158" s="423"/>
    </row>
    <row r="159" spans="1:12" ht="15.75" x14ac:dyDescent="0.25">
      <c r="A159" s="445" t="s">
        <v>6</v>
      </c>
      <c r="B159" s="445" t="s">
        <v>7</v>
      </c>
      <c r="C159" s="102" t="s">
        <v>8</v>
      </c>
      <c r="D159" s="102"/>
      <c r="E159" s="304"/>
      <c r="F159" s="103" t="str">
        <f>IF(E159="","",ROUND(IF(E159&gt;1.6,0,IF(E159&lt;=1,1,E159^2*'Performance Standards'!K$14+E159*'Performance Standards'!K$15+'Performance Standards'!K$16)),2))</f>
        <v/>
      </c>
      <c r="G159" s="449" t="str">
        <f>IFERROR(AVERAGE(F159:F160),"")</f>
        <v/>
      </c>
      <c r="H159" s="449" t="str">
        <f>IFERROR(ROUND(AVERAGE(G159),2),"")</f>
        <v/>
      </c>
      <c r="I159" s="436" t="str">
        <f>IF(H159="","",IF(H159&gt;0.69,"Functioning",IF(H159&gt;0.29,"Functioning At Risk",IF(H159&gt;-1,"Not Functioning"))))</f>
        <v/>
      </c>
      <c r="J159" s="423"/>
      <c r="K159" s="423"/>
    </row>
    <row r="160" spans="1:12" ht="15.75" x14ac:dyDescent="0.25">
      <c r="A160" s="446"/>
      <c r="B160" s="446"/>
      <c r="C160" s="104" t="s">
        <v>9</v>
      </c>
      <c r="D160" s="104"/>
      <c r="E160" s="305"/>
      <c r="F160" s="105" t="str">
        <f>IF(E160="","",IF(OR('Quantification Tool'!B$7="A",'Quantification Tool'!B$7="B", 'Quantification Tool'!B$7="Bc"),IF(E160&lt;1.2,0,IF(E160&gt;=2.2,1,ROUND(IF(E160&lt;1.4,E160*'Performance Standards'!$K$84+'Performance Standards'!$K$85,E160*'Performance Standards'!$L$84+'Performance Standards'!$L$85),2))),IF(OR('Quantification Tool'!B$7="C",'Quantification Tool'!B$7="E"),IF(E160&lt;2,0,IF(E160&gt;=5,1,ROUND(IF(E160&lt;2.4,E160*'Performance Standards'!$L$49+'Performance Standards'!$L$50,E160*'Performance Standards'!$K$49+'Performance Standards'!$K$50),2))))))</f>
        <v/>
      </c>
      <c r="G160" s="450"/>
      <c r="H160" s="450"/>
      <c r="I160" s="437"/>
      <c r="J160" s="423"/>
      <c r="K160" s="423"/>
    </row>
    <row r="161" spans="1:13" ht="15.75" x14ac:dyDescent="0.25">
      <c r="A161" s="439" t="s">
        <v>30</v>
      </c>
      <c r="B161" s="439" t="s">
        <v>31</v>
      </c>
      <c r="C161" s="111" t="s">
        <v>27</v>
      </c>
      <c r="D161" s="318"/>
      <c r="E161" s="253"/>
      <c r="F161" s="132" t="str">
        <f>IF(E161="","",IF(E161&gt;700,1,IF(E161&lt;300,ROUND('Performance Standards'!$S$14*(E161^2)+'Performance Standards'!$S$15*E161+'Performance Standards'!$S$16,2),ROUND('Performance Standards'!$T$15*E161+'Performance Standards'!$T$16,2))))</f>
        <v/>
      </c>
      <c r="G161" s="441" t="str">
        <f>IFERROR(AVERAGE(F161:F162),"")</f>
        <v/>
      </c>
      <c r="H161" s="438" t="str">
        <f>IFERROR(ROUND(AVERAGE(G161:G179),2),"")</f>
        <v/>
      </c>
      <c r="I161" s="423" t="str">
        <f>IF(H161="","",IF(H161&gt;0.69,"Functioning",IF(H161&gt;0.29,"Functioning At Risk",IF(H161&gt;-1,"Not Functioning"))))</f>
        <v/>
      </c>
      <c r="J161" s="423"/>
      <c r="K161" s="423"/>
    </row>
    <row r="162" spans="1:13" ht="15.75" x14ac:dyDescent="0.25">
      <c r="A162" s="443"/>
      <c r="B162" s="440"/>
      <c r="C162" s="113" t="s">
        <v>369</v>
      </c>
      <c r="D162" s="317"/>
      <c r="E162" s="305"/>
      <c r="F162" s="319" t="str">
        <f>IF(E162="","",IF(E162&gt;30,1,IF(E162&lt;16,ROUND('Performance Standards'!$S$48*(E162^2)+'Performance Standards'!$S$49*E162+'Performance Standards'!$S$50,2),ROUND('Performance Standards'!$T$49*E162+'Performance Standards'!$T$50,2))))</f>
        <v/>
      </c>
      <c r="G162" s="442"/>
      <c r="H162" s="438"/>
      <c r="I162" s="423"/>
      <c r="J162" s="423"/>
      <c r="K162" s="423"/>
    </row>
    <row r="163" spans="1:13" ht="15.75" x14ac:dyDescent="0.25">
      <c r="A163" s="443"/>
      <c r="B163" s="443" t="s">
        <v>54</v>
      </c>
      <c r="C163" s="111" t="s">
        <v>156</v>
      </c>
      <c r="D163" s="114"/>
      <c r="E163" s="253"/>
      <c r="F163" s="109" t="str">
        <f>IF(E163="","",ROUND(IF(E163&gt;0.7,0,IF(E163&lt;=0.1,1,E163^3*'Performance Standards'!S$83+E163^2*'Performance Standards'!S$84+E163*'Performance Standards'!S$85+'Performance Standards'!S$86)),2))</f>
        <v/>
      </c>
      <c r="G163" s="444" t="str">
        <f>IFERROR(IF(E163="",AVERAGE(F164:F165),IF(E164="",F163,MIN(F163,AVERAGE(F164:F165)))),"")</f>
        <v/>
      </c>
      <c r="H163" s="438"/>
      <c r="I163" s="423"/>
      <c r="J163" s="423"/>
      <c r="K163" s="423"/>
    </row>
    <row r="164" spans="1:13" ht="15.75" x14ac:dyDescent="0.25">
      <c r="A164" s="443"/>
      <c r="B164" s="443"/>
      <c r="C164" s="112" t="s">
        <v>55</v>
      </c>
      <c r="D164" s="108"/>
      <c r="E164" s="304"/>
      <c r="F164" s="109" t="str">
        <f>IF(E164="","",IF(OR(E164="Ex/Ex",E164="Ex/VH"),0, IF(OR(E164="Ex/H",E164="VH/Ex",E164="VH/VH", E164="H/Ex",E164="H/VH",E164="M/Ex"),0.1,IF(OR(E164="Ex/M",E164="VH/H",E164="H/H", E164="M/VH"),0.2, IF(OR(E164="Ex/L",E164="VH/M",E164="H/M", E164="M/H",E164="L/Ex"),0.3, IF(OR(E164="Ex/VL",E164="VH/L",E164="H/L"),0.4, IF(OR(E164="VH/VL",E164="H/VL",E164="M/M", E164="L/VH"),0.5, IF(OR(E164="M/L",E164="L/H"),0.6, IF(OR(E164="M/VL",E164="L/M"),0.7, IF(OR(E164="L/L",E164="L/VL"),1))))))))))</f>
        <v/>
      </c>
      <c r="G164" s="444"/>
      <c r="H164" s="438"/>
      <c r="I164" s="423"/>
      <c r="J164" s="423"/>
      <c r="K164" s="423"/>
    </row>
    <row r="165" spans="1:13" ht="15.75" x14ac:dyDescent="0.25">
      <c r="A165" s="443"/>
      <c r="B165" s="443"/>
      <c r="C165" s="113" t="s">
        <v>192</v>
      </c>
      <c r="D165" s="116"/>
      <c r="E165" s="305"/>
      <c r="F165" s="118" t="str">
        <f>IF(E165="","",ROUND(IF(E165&gt;40,0,IF(E165&lt;5,1,E165^3*'Performance Standards'!S$118+E165^2*'Performance Standards'!S$119+E165*'Performance Standards'!S$120+'Performance Standards'!S$121)),2))</f>
        <v/>
      </c>
      <c r="G165" s="444"/>
      <c r="H165" s="438"/>
      <c r="I165" s="423"/>
      <c r="J165" s="423"/>
      <c r="K165" s="423"/>
    </row>
    <row r="166" spans="1:13" ht="15.75" x14ac:dyDescent="0.25">
      <c r="A166" s="443"/>
      <c r="B166" s="439" t="s">
        <v>56</v>
      </c>
      <c r="C166" s="114" t="s">
        <v>242</v>
      </c>
      <c r="D166" s="114"/>
      <c r="E166" s="253"/>
      <c r="F166" s="132" t="str">
        <f>IF(E166="","",ROUND(IF(E166&gt;90,1,E166^2*'Performance Standards'!S$153+E166*'Performance Standards'!S$154+'Performance Standards'!S$155),2))</f>
        <v/>
      </c>
      <c r="G166" s="441" t="str">
        <f>IFERROR(AVERAGE(F166:F173),"")</f>
        <v/>
      </c>
      <c r="H166" s="438"/>
      <c r="I166" s="423"/>
      <c r="J166" s="423"/>
      <c r="K166" s="423"/>
    </row>
    <row r="167" spans="1:13" ht="15.75" x14ac:dyDescent="0.25">
      <c r="A167" s="443"/>
      <c r="B167" s="443"/>
      <c r="C167" s="108" t="s">
        <v>243</v>
      </c>
      <c r="D167" s="108"/>
      <c r="E167" s="304"/>
      <c r="F167" s="109" t="str">
        <f>IF(E167="","",ROUND(IF(E167&gt;90,1,E167^2*'Performance Standards'!S$153+E167*'Performance Standards'!S$154+'Performance Standards'!S$155),2))</f>
        <v/>
      </c>
      <c r="G167" s="444"/>
      <c r="H167" s="438"/>
      <c r="I167" s="423"/>
      <c r="J167" s="423"/>
      <c r="K167" s="423"/>
    </row>
    <row r="168" spans="1:13" ht="15.75" x14ac:dyDescent="0.25">
      <c r="A168" s="443"/>
      <c r="B168" s="443"/>
      <c r="C168" s="108" t="s">
        <v>170</v>
      </c>
      <c r="D168" s="108"/>
      <c r="E168" s="304"/>
      <c r="F168" s="109" t="str">
        <f>IF(E168="","",ROUND(IF(OR('Quantification Tool'!B$7="A",'Quantification Tool'!B$7="B",'Quantification Tool'!B$7="Bc"),IF(E168&gt;=50,1, IF(E168&lt;30, E168*'Performance Standards'!S$188+'Performance Standards'!S$189, E168*'Performance Standards'!T$188+'Performance Standards'!T$189)), IF(E168&gt;=150,1,IF(E168&lt;48, E168^2*'Performance Standards'!S$222+E168*'Performance Standards'!S$223+'Performance Standards'!S$224, E168*'Performance Standards'!T$223+'Performance Standards'!T$224))),2))</f>
        <v/>
      </c>
      <c r="G168" s="444"/>
      <c r="H168" s="438"/>
      <c r="I168" s="423"/>
      <c r="J168" s="423"/>
      <c r="K168" s="423"/>
    </row>
    <row r="169" spans="1:13" ht="15.75" x14ac:dyDescent="0.25">
      <c r="A169" s="443"/>
      <c r="B169" s="443"/>
      <c r="C169" s="108" t="s">
        <v>171</v>
      </c>
      <c r="D169" s="108"/>
      <c r="E169" s="304"/>
      <c r="F169" s="109" t="str">
        <f>IF(E169="","",ROUND(IF(OR('Quantification Tool'!B$7="A",'Quantification Tool'!B$7="B",'Quantification Tool'!B$7="Bc"),IF(E169&gt;=50,1, IF(E169&lt;30, E169*'Performance Standards'!S$188+'Performance Standards'!S$189, E169*'Performance Standards'!T$188+'Performance Standards'!T$189)), IF(E169&gt;=150,1,IF(E169&lt;48, E169^2*'Performance Standards'!S$222+E169*'Performance Standards'!S$223+'Performance Standards'!S$224, E169*'Performance Standards'!T$223+'Performance Standards'!T$224))),2))</f>
        <v/>
      </c>
      <c r="G169" s="444"/>
      <c r="H169" s="438"/>
      <c r="I169" s="423"/>
      <c r="J169" s="423"/>
      <c r="K169" s="423"/>
    </row>
    <row r="170" spans="1:13" ht="15.75" x14ac:dyDescent="0.25">
      <c r="A170" s="443"/>
      <c r="B170" s="443"/>
      <c r="C170" s="108" t="s">
        <v>251</v>
      </c>
      <c r="D170" s="108"/>
      <c r="E170" s="304"/>
      <c r="F170" s="109" t="str">
        <f>IF(E170="","",ROUND(IF(E170&gt;100,1,E170^2*'Performance Standards'!S$255+E170*'Performance Standards'!S$256+'Performance Standards'!S$257),2))</f>
        <v/>
      </c>
      <c r="G170" s="444"/>
      <c r="H170" s="438"/>
      <c r="I170" s="423"/>
      <c r="J170" s="423"/>
      <c r="K170" s="423"/>
    </row>
    <row r="171" spans="1:13" ht="15.75" x14ac:dyDescent="0.25">
      <c r="A171" s="443"/>
      <c r="B171" s="443"/>
      <c r="C171" s="108" t="s">
        <v>252</v>
      </c>
      <c r="D171" s="108"/>
      <c r="E171" s="304"/>
      <c r="F171" s="109" t="str">
        <f>IF(E171="","",ROUND(IF(E171&gt;100,1,E171^2*'Performance Standards'!S$255+E171*'Performance Standards'!S$256+'Performance Standards'!S$257),2))</f>
        <v/>
      </c>
      <c r="G171" s="444"/>
      <c r="H171" s="438"/>
      <c r="I171" s="423"/>
      <c r="J171" s="423"/>
      <c r="K171" s="423"/>
    </row>
    <row r="172" spans="1:13" ht="15.75" x14ac:dyDescent="0.25">
      <c r="A172" s="443"/>
      <c r="B172" s="443"/>
      <c r="C172" s="112" t="s">
        <v>342</v>
      </c>
      <c r="D172" s="108"/>
      <c r="E172" s="304"/>
      <c r="F172" s="109" t="str">
        <f>IF(E172="","",ROUND(IF(E172&gt;=260,0.5,E172*'Performance Standards'!S$288+'Performance Standards'!S$289),2))</f>
        <v/>
      </c>
      <c r="G172" s="444"/>
      <c r="H172" s="438"/>
      <c r="I172" s="423"/>
      <c r="J172" s="423"/>
      <c r="K172" s="423"/>
      <c r="M172" s="21"/>
    </row>
    <row r="173" spans="1:13" ht="15.75" x14ac:dyDescent="0.25">
      <c r="A173" s="443"/>
      <c r="B173" s="440"/>
      <c r="C173" s="113" t="s">
        <v>343</v>
      </c>
      <c r="D173" s="108"/>
      <c r="E173" s="304"/>
      <c r="F173" s="219" t="str">
        <f>IF(E173="","",ROUND(IF(E173&gt;=260,0.5,E173*'Performance Standards'!S$288+'Performance Standards'!S$289),2))</f>
        <v/>
      </c>
      <c r="G173" s="442"/>
      <c r="H173" s="438"/>
      <c r="I173" s="423"/>
      <c r="J173" s="423"/>
      <c r="K173" s="423"/>
    </row>
    <row r="174" spans="1:13" ht="15.75" x14ac:dyDescent="0.25">
      <c r="A174" s="443"/>
      <c r="B174" s="106" t="s">
        <v>254</v>
      </c>
      <c r="C174" s="131" t="s">
        <v>345</v>
      </c>
      <c r="D174" s="107"/>
      <c r="E174" s="87"/>
      <c r="F174" s="109" t="str">
        <f>IF(E174="","",IF('Quantification Tool'!B$10="Gravel",IF(E174&gt;0.1,1,IF(E174&lt;=0.01,0,ROUND(E174*'Performance Standards'!$S$323+'Performance Standards'!$S$324,2)))))</f>
        <v/>
      </c>
      <c r="G174" s="155" t="str">
        <f>IFERROR(AVERAGE(F174),"")</f>
        <v/>
      </c>
      <c r="H174" s="438"/>
      <c r="I174" s="423"/>
      <c r="J174" s="423"/>
      <c r="K174" s="423"/>
    </row>
    <row r="175" spans="1:13" ht="15.75" x14ac:dyDescent="0.25">
      <c r="A175" s="443"/>
      <c r="B175" s="439" t="s">
        <v>57</v>
      </c>
      <c r="C175" s="111" t="s">
        <v>58</v>
      </c>
      <c r="D175" s="114"/>
      <c r="E175" s="253"/>
      <c r="F175" s="310" t="str">
        <f>IF(E175="","",IF('Quantification Tool'!B$13&gt;=4,IF(AND(E175&lt;=5,E175&gt;=0.1),1,IF(OR(E175&lt;0.1,E175&gt;8),0,ROUND(E175*'Performance Standards'!$S$357+'Performance Standards'!$S$358,2))), IF(AND('Quantification Tool'!B$9&gt;=10,OR('Quantification Tool'!B$7="C",'Quantification Tool'!B$7="E")),IF(OR(E175&lt;3,E175&gt;8),0,IF(AND(E175&gt;=4,E175&lt;=7),1,ROUND(E175^2*'Performance Standards'!$S$389+E175*'Performance Standards'!$S$390+'Performance Standards'!$S$391,2))),  IF(AND('Quantification Tool'!B$9&lt;10,OR('Quantification Tool'!B$7="C",'Quantification Tool'!B$7="E")),IF(OR(E175&lt;3,E175&gt;7),0,IF(E175&lt;4,ROUND(E175*'Performance Standards'!$S$423+'Performance Standards'!$S$424,2), IF(E175&gt;5, ROUND(E175*'Performance Standards'!$T$423+'Performance Standards'!T$424,2),1))),IF(OR(AND('Quantification Tool'!B$13&lt;2,'Quantification Tool'!B$7="Bc"),AND('Quantification Tool'!B$13&gt;=2,'Quantification Tool'!B$13&lt;=4,'Quantification Tool'!B$7="B")),ROUND(IF(E175&gt;8,0,IF(E175&lt;=0.6,1,E175^2*'Performance Standards'!$S$455+E175*'Performance Standards'!$S$456+'Performance Standards'!$S$457)),2))))))</f>
        <v/>
      </c>
      <c r="G175" s="441" t="str">
        <f>IFERROR(AVERAGE(F175:F178),"")</f>
        <v/>
      </c>
      <c r="H175" s="438"/>
      <c r="I175" s="423"/>
      <c r="J175" s="423"/>
      <c r="K175" s="423"/>
    </row>
    <row r="176" spans="1:13" ht="15.75" x14ac:dyDescent="0.25">
      <c r="A176" s="443"/>
      <c r="B176" s="443"/>
      <c r="C176" s="112" t="s">
        <v>59</v>
      </c>
      <c r="D176" s="108"/>
      <c r="E176" s="304"/>
      <c r="F176" s="311" t="str">
        <f>IF(E176="","",IF(E176&lt;=1.1,0,IF(OR('Quantification Tool'!B$7="A", 'Quantification Tool'!B$7="B", 'Quantification Tool'!B$7="Bc"),IF(E176&gt;1.74,1,ROUND(IF(E176&lt;1.2,E176*'Performance Standards'!S$556+'Performance Standards'!S$557,E176*'Performance Standards'!T$556+'Performance Standards'!T$557),2)),IF(OR('Quantification Tool'!B$7="C", 'Quantification Tool'!B$7="E"),IF('Quantification Tool'!B$10="Gravel",IF(E176&gt;1.74,1,ROUND(IF(E176&lt;1.2,E176*'Performance Standards'!S$489+'Performance Standards'!S$490,E176*'Performance Standards'!T$489+'Performance Standards'!T$490),2)),IF('Quantification Tool'!B$10="Sand",IF(E176&gt;=1.25,1,ROUND(E176^2*'Performance Standards'!S$521+E176*'Performance Standards'!S$522+'Performance Standards'!S$523,2))))))))</f>
        <v/>
      </c>
      <c r="G176" s="444"/>
      <c r="H176" s="438"/>
      <c r="I176" s="423"/>
      <c r="J176" s="423"/>
      <c r="K176" s="423"/>
    </row>
    <row r="177" spans="1:12" ht="15.75" x14ac:dyDescent="0.25">
      <c r="A177" s="443"/>
      <c r="B177" s="443"/>
      <c r="C177" s="112" t="s">
        <v>62</v>
      </c>
      <c r="D177" s="108"/>
      <c r="E177" s="304"/>
      <c r="F177" s="312" t="str">
        <f>IF(E177="","",IF('Quantification Tool'!B$13="","Need Slope",IF('Quantification Tool'!B$13&lt;3,ROUND(IF(OR(E177&gt;83,E177&lt;32),0, IF(E177&lt;60,E177*'Performance Standards'!S$591+'Performance Standards'!S$592,IF(E177&gt;70,E177^2*'Performance Standards'!T$590+E177*'Performance Standards'!T$591+'Performance Standards'!T$592,1))),2),IF('Quantification Tool'!B$13&gt;10,ROUND(IF(E177&gt;=80,1,IF(E177&lt;67,0,E177^2*'Performance Standards'!S$657+E177*'Performance Standards'!S$658+'Performance Standards'!S$659)),2),IF(OR(E177&gt;76, E177&lt;34),0,IF(AND(E177&gt;49,E177&lt;61),1,ROUND(IF(E177&lt;50,E177*'Performance Standards'!S$625+'Performance Standards'!S$626,E177*'Performance Standards'!T$625+'Performance Standards'!T$626),2)))))))</f>
        <v/>
      </c>
      <c r="G177" s="444"/>
      <c r="H177" s="438"/>
      <c r="I177" s="423"/>
      <c r="J177" s="423"/>
      <c r="K177" s="423"/>
    </row>
    <row r="178" spans="1:12" ht="15.75" x14ac:dyDescent="0.25">
      <c r="A178" s="443"/>
      <c r="B178" s="440"/>
      <c r="C178" s="116" t="s">
        <v>363</v>
      </c>
      <c r="D178" s="116"/>
      <c r="E178" s="305"/>
      <c r="F178" s="117" t="str">
        <f>IF(E178="","",IF(E178&gt;=1.6,0,IF(E178&lt;=1,1,ROUND('Performance Standards'!$S$689*E178^3+'Performance Standards'!$S$690*E178^2+'Performance Standards'!$S$691*E178+'Performance Standards'!$S$692,2))))</f>
        <v/>
      </c>
      <c r="G178" s="442"/>
      <c r="H178" s="438"/>
      <c r="I178" s="423"/>
      <c r="J178" s="423"/>
      <c r="K178" s="423"/>
    </row>
    <row r="179" spans="1:12" ht="15.75" x14ac:dyDescent="0.25">
      <c r="A179" s="440"/>
      <c r="B179" s="320" t="s">
        <v>64</v>
      </c>
      <c r="C179" s="116" t="s">
        <v>63</v>
      </c>
      <c r="D179" s="116"/>
      <c r="E179" s="305"/>
      <c r="F179" s="118" t="str">
        <f>IF(E179="","",IF(AND('Quantification Tool'!B$7="E",'Quantification Tool'!$B$10="Sand",'Quantification Tool'!$B$18="Unconfined Alluvial"),ROUND(IF(OR(E179&gt;1.8,E179&lt;1.3),0,IF(E179&lt;=1.6,1,E179*'Performance Standards'!$S$723+'Performance Standards'!$S$724)),2),    IF('Quantification Tool'!$B$18="Unconfined Alluvial",ROUND(IF(OR(E179&lt;1.2, E179&gt;1.5),0,IF(E179&lt;=1.4,1,E179*'Performance Standards'!$S$756+'Performance Standards'!$S$757)),2), IF('Quantification Tool'!$B$18="Confined Alluvial",ROUND(IF(E179&lt;1.15,0,IF(E179&lt;=1.4,E179*'Performance Standards'!$S$785+'Performance Standards'!$S$786,1)),2),  IF('Quantification Tool'!$B$18="Colluvial",ROUND(IF(E179&gt;1.3,0,IF(E179&gt;1.2,E179*'Performance Standards'!$S$815+'Performance Standards'!$S$816,1)),2) )))))</f>
        <v/>
      </c>
      <c r="G179" s="158" t="str">
        <f>IFERROR(AVERAGE(F179),"")</f>
        <v/>
      </c>
      <c r="H179" s="438"/>
      <c r="I179" s="423"/>
      <c r="J179" s="423"/>
      <c r="K179" s="423"/>
      <c r="L179" s="13"/>
    </row>
    <row r="180" spans="1:12" ht="15.75" x14ac:dyDescent="0.25">
      <c r="A180" s="431" t="s">
        <v>68</v>
      </c>
      <c r="B180" s="122" t="s">
        <v>161</v>
      </c>
      <c r="C180" s="133" t="s">
        <v>438</v>
      </c>
      <c r="D180" s="123"/>
      <c r="E180" s="87"/>
      <c r="F180" s="124" t="str">
        <f>IF(E180="","",IF('Quantification Tool'!$B$16="Coldwater",IF(E180&gt;77,0,IF(E180&lt;59,1,ROUND(E180*'Performance Standards'!$AB$15+'Performance Standards'!$AB$16,2))),IF('Quantification Tool'!$B$16="Coolwater",IF(E180&gt;97,0,IF(E180&lt;67,1,ROUND(E180*'Performance Standards'!$AC$15+'Performance Standards'!$AC$16,2))))))</f>
        <v/>
      </c>
      <c r="G180" s="159" t="str">
        <f>IFERROR(AVERAGE(F180),"")</f>
        <v/>
      </c>
      <c r="H180" s="426" t="str">
        <f>IFERROR(ROUND(AVERAGE(G180:G185),2),"")</f>
        <v/>
      </c>
      <c r="I180" s="425" t="str">
        <f>IF(H180="","",IF(H180&gt;0.69,"Functioning",IF(H180&gt;0.29,"Functioning At Risk",IF(H180&gt;-1,"Not Functioning"))))</f>
        <v/>
      </c>
      <c r="J180" s="423"/>
      <c r="K180" s="423"/>
      <c r="L180" s="13"/>
    </row>
    <row r="181" spans="1:12" ht="15.75" x14ac:dyDescent="0.25">
      <c r="A181" s="430"/>
      <c r="B181" s="268" t="s">
        <v>194</v>
      </c>
      <c r="C181" s="127" t="s">
        <v>197</v>
      </c>
      <c r="D181" s="120"/>
      <c r="E181" s="304"/>
      <c r="F181" s="121" t="str">
        <f>IF(E181="","",ROUND(IF(E181&gt;=284,0,E181*'Performance Standards'!AB$116+'Performance Standards'!AB$117),2))</f>
        <v/>
      </c>
      <c r="G181" s="159" t="str">
        <f>IFERROR(AVERAGE(F181),"")</f>
        <v/>
      </c>
      <c r="H181" s="426"/>
      <c r="I181" s="425"/>
      <c r="J181" s="423"/>
      <c r="K181" s="423"/>
      <c r="L181" s="21"/>
    </row>
    <row r="182" spans="1:12" ht="15.75" x14ac:dyDescent="0.25">
      <c r="A182" s="430"/>
      <c r="B182" s="430" t="s">
        <v>195</v>
      </c>
      <c r="C182" s="263" t="s">
        <v>92</v>
      </c>
      <c r="D182" s="215"/>
      <c r="E182" s="253"/>
      <c r="F182" s="134" t="str">
        <f>IF(E182="","",IF(OR(E182&lt;0.5,E182&gt;2), 0, ROUND(IF(E182&lt;0.75, E182*'Performance Standards'!$AB$153+'Performance Standards'!$AB$154, IF(E182&lt;=1.33, E182*'Performance Standards'!$AC$153+'Performance Standards'!$AC$154,E182*'Performance Standards'!$AD$153+'Performance Standards'!$AD$154)),2)))</f>
        <v/>
      </c>
      <c r="G182" s="456" t="str">
        <f>IFERROR(AVERAGE(F182:F183),"")</f>
        <v/>
      </c>
      <c r="H182" s="426"/>
      <c r="I182" s="425"/>
      <c r="J182" s="423"/>
      <c r="K182" s="423"/>
      <c r="L182" s="21"/>
    </row>
    <row r="183" spans="1:12" ht="15.75" x14ac:dyDescent="0.25">
      <c r="A183" s="430"/>
      <c r="B183" s="430"/>
      <c r="C183" s="135" t="s">
        <v>193</v>
      </c>
      <c r="D183" s="127"/>
      <c r="E183" s="305"/>
      <c r="F183" s="121" t="str">
        <f>IF(E183="","",IF('Quantification Tool'!$B$8 = "Mountains", IF('Quantification Tool'!$B$9 &lt;=5, IF( 'Quantification Tool'!$B$17= "Winter/Spring", ROUND(IF(E183&gt;=23,1,E183*'Performance Standards'!$AB$188+'Performance Standards'!$AB$189),2), IF('Quantification Tool'!$B$17= "Summer", ROUND(IF(E183&gt;=21,1,E183*'Performance Standards'!$AC$188),2), IF('Quantification Tool'!$B$17= "Fall", ROUND(IF(E183&gt;=18,1,E183*'Performance Standards'!$AD$188),2)))), IF('Quantification Tool'!$B$9&lt;10, IF('Quantification Tool'!$B$17= "Winter/Spring", ROUND(IF(E183&gt;16,1,E183*'Performance Standards'!$AB$222),2),IF('Quantification Tool'!$B$17= "Summer",ROUND(IF(E183&gt;14,1,E183*'Performance Standards'!$AC$222),2), IF('Quantification Tool'!$B$17= "Fall",ROUND(IF(E183&gt;12,1,E183*'Performance Standards'!$AD$222),2)))), IF('Quantification Tool'!$B$17= "Winter/Spring", ROUND(IF(E183&gt;14,1,E183*'Performance Standards'!$AB$256),2),IF('Quantification Tool'!$B$17= "Summer",ROUND(IF(E183&gt;16,1,E183*'Performance Standards'!$AC$256),2), IF('Quantification Tool'!$B$17= "Fall",ROUND(IF(E183&gt;15,1,E183*'Performance Standards'!$AD$256),2)))))), IF('Quantification Tool'!$B$8 = "Piedmont",  IF('Quantification Tool'!$B$9 &lt;=5, IF( 'Quantification Tool'!$B$17= "Winter/Spring", ROUND(IF(E183&gt;=18,1,E183*'Performance Standards'!$AB$290),2), IF('Quantification Tool'!$B$17= "Summer", ROUND(IF(E183&gt;=12,1,E183*'Performance Standards'!$AC$290),2), IF('Quantification Tool'!$B$17= "Fall", ROUND(IF(E183&gt;=14,1,E183*'Performance Standards'!$AD$290),2)))), IF('Quantification Tool'!$B$9&lt;10, IF('Quantification Tool'!$B$17= "Winter/Spring", ROUND(IF(E183&gt;12,1,E183*'Performance Standards'!$AB$326),2),IF('Quantification Tool'!$B$17= "Summer",ROUND(IF(E183&gt;5,1,E183*'Performance Standards'!$AC$326),2), IF('Quantification Tool'!$B$17= "Fall",ROUND(IF(E183&gt;8,1,E183*'Performance Standards'!$AD$326),2)))), IF('Quantification Tool'!$B$17= "Winter/Spring", ROUND(IF(E183&gt;8,1,E183*'Performance Standards'!$AB$360),2),IF('Quantification Tool'!$B$17= "Summer",ROUND(IF(E183&gt;7,1,E183*'Performance Standards'!$AC$360),2), IF('Quantification Tool'!$B$17= "Fall",ROUND(IF(E183&gt;8,1,E183*'Performance Standards'!$AD$360),2)))))),IF('Quantification Tool'!$B$8 = "Coastal Plain", IF('Quantification Tool'!$B$9 &lt;=5, IF( 'Quantification Tool'!$B$17= "Winter/Spring", ROUND(IF(E183&gt;=33,1,E183*'Performance Standards'!$AB$392),2), IF('Quantification Tool'!$B$17= "Summer", ROUND(IF(E183&gt;=14,1,E183*'Performance Standards'!$AC$392),2), IF('Quantification Tool'!$B$17= "Fall", ROUND(IF(E183&gt;=25,1,E183*'Performance Standards'!$AD$392),2)))), IF('Quantification Tool'!$B$9&lt;10, IF('Quantification Tool'!$B$17= "Winter/Spring", ROUND(IF(E183&gt;20,1,E183*'Performance Standards'!$AB$424),2),IF('Quantification Tool'!$B$17= "Summer",ROUND(IF(E183&gt;13,1,E183*'Performance Standards'!$AC$424),2), IF('Quantification Tool'!$B$17= "Fall",ROUND(IF(E183&gt;12,1,E183*'Performance Standards'!$AD$424),2)))), IF('Quantification Tool'!$B$17= "Winter/Spring", ROUND(IF(E183&gt;17,1,E183*'Performance Standards'!$AB$458),2),IF('Quantification Tool'!$B$17= "Summer",ROUND(IF(E183&gt;16,1,E183*'Performance Standards'!$AC$458),2), IF('Quantification Tool'!$B$17= "Fall",ROUND(IF(E183&gt;8,1,E183*'Performance Standards'!$AD$458),2))))))))))</f>
        <v/>
      </c>
      <c r="G183" s="457"/>
      <c r="H183" s="426"/>
      <c r="I183" s="425"/>
      <c r="J183" s="423"/>
      <c r="K183" s="423"/>
      <c r="L183" s="21"/>
    </row>
    <row r="184" spans="1:12" ht="15.75" x14ac:dyDescent="0.25">
      <c r="A184" s="430"/>
      <c r="B184" s="122" t="s">
        <v>162</v>
      </c>
      <c r="C184" s="377" t="s">
        <v>446</v>
      </c>
      <c r="D184" s="378"/>
      <c r="E184" s="304"/>
      <c r="F184" s="125" t="str">
        <f>IF(E184="","",IF(E184&gt;4,0,ROUND(E184^2*'Performance Standards'!$AB$488+E184*'Performance Standards'!$AB$489+'Performance Standards'!$AB$490,2)))</f>
        <v/>
      </c>
      <c r="G184" s="161" t="str">
        <f>IFERROR(AVERAGE(F184),"")</f>
        <v/>
      </c>
      <c r="H184" s="426"/>
      <c r="I184" s="425"/>
      <c r="J184" s="423"/>
      <c r="K184" s="423"/>
      <c r="L184" s="21"/>
    </row>
    <row r="185" spans="1:12" ht="15.75" x14ac:dyDescent="0.25">
      <c r="A185" s="432"/>
      <c r="B185" s="268" t="s">
        <v>163</v>
      </c>
      <c r="C185" s="377" t="s">
        <v>447</v>
      </c>
      <c r="D185" s="378"/>
      <c r="E185" s="253"/>
      <c r="F185" s="121" t="str">
        <f>IF(E185="","",IF(E185&gt;0.23,0,ROUND(E185^2*'Performance Standards'!$AB$521+E185*'Performance Standards'!$AB$522+'Performance Standards'!$AB$523,2)))</f>
        <v/>
      </c>
      <c r="G185" s="159" t="str">
        <f>IFERROR(AVERAGE(F185),"")</f>
        <v/>
      </c>
      <c r="H185" s="426"/>
      <c r="I185" s="425"/>
      <c r="J185" s="423"/>
      <c r="K185" s="423"/>
      <c r="L185" s="21"/>
    </row>
    <row r="186" spans="1:12" ht="15.75" x14ac:dyDescent="0.25">
      <c r="A186" s="427" t="s">
        <v>70</v>
      </c>
      <c r="B186" s="451" t="s">
        <v>93</v>
      </c>
      <c r="C186" s="226" t="s">
        <v>253</v>
      </c>
      <c r="D186" s="227"/>
      <c r="E186" s="253"/>
      <c r="F186" s="228" t="str">
        <f>IF(E186="","",IF('Quantification Tool'!B$8="Mountains",IF(E186&gt;6.52,0,IF(E186&lt;3.3,1,ROUND(IF(E186&gt;5.62,E186*'Performance Standards'!AL$15+'Performance Standards'!AL$16, E186^2*'Performance Standards'!AK$15+E186*'Performance Standards'!AK$16+'Performance Standards'!AK$17),2))),IF('Quantification Tool'!B$8="Piedmont",IF(E186&gt;6.91,0, IF(E186&lt;4.31,1, ROUND(IF(E186&gt;5.85, E186*'Performance Standards'!$AL$49+'Performance Standards'!$AL$50, E186^2*'Performance Standards'!AK$49+E186*'Performance Standards'!AK$50+'Performance Standards'!AK$51),2))))))</f>
        <v/>
      </c>
      <c r="G186" s="460" t="str">
        <f>IFERROR(AVERAGE(F186:F187),"")</f>
        <v/>
      </c>
      <c r="H186" s="424" t="str">
        <f>IFERROR(ROUND(AVERAGE(G186:G188),2),"")</f>
        <v/>
      </c>
      <c r="I186" s="425" t="str">
        <f>IF(H186="","",IF(H186&gt;0.69,"Functioning",IF(H186&gt;0.29,"Functioning At Risk",IF(H186&gt;-1,"Not Functioning"))))</f>
        <v/>
      </c>
      <c r="J186" s="423"/>
      <c r="K186" s="423"/>
      <c r="L186" s="21"/>
    </row>
    <row r="187" spans="1:12" ht="15.75" x14ac:dyDescent="0.25">
      <c r="A187" s="428"/>
      <c r="B187" s="452"/>
      <c r="C187" s="229" t="s">
        <v>264</v>
      </c>
      <c r="D187" s="128"/>
      <c r="E187" s="305"/>
      <c r="F187" s="230" t="str">
        <f>IF(E187="","",ROUND(IF('Quantification Tool'!B$8="Mountains", IF(E187&lt;11,0,IF(E187&gt;35,1,E187^3*'Performance Standards'!AK$83+E187^2*'Performance Standards'!AK$84+E187*'Performance Standards'!AK$85+'Performance Standards'!AK$86)),IF('Quantification Tool'!B$8 = "Piedmont", IF(E187&lt;7,0,IF(E187&gt;27,1,E187^3*'Performance Standards'!AK$116+E187^2*'Performance Standards'!AK$117+E187*'Performance Standards'!AK$118+'Performance Standards'!AK$119)), IF('Quantification Tool'!B$8="Coastal Plain",IF(E187&lt;6,0,IF(E187&gt;23,1,E187^3*'Performance Standards'!AK$151+E187^2*'Performance Standards'!AK$152+E187*'Performance Standards'!AK$153+'Performance Standards'!AK$154))))),2))</f>
        <v/>
      </c>
      <c r="G187" s="461"/>
      <c r="H187" s="424"/>
      <c r="I187" s="425"/>
      <c r="J187" s="423"/>
      <c r="K187" s="423"/>
      <c r="L187" s="21"/>
    </row>
    <row r="188" spans="1:12" ht="15.75" x14ac:dyDescent="0.25">
      <c r="A188" s="429"/>
      <c r="B188" s="269" t="s">
        <v>146</v>
      </c>
      <c r="C188" s="128" t="s">
        <v>147</v>
      </c>
      <c r="D188" s="128"/>
      <c r="E188" s="305"/>
      <c r="F188" s="130" t="str">
        <f>IF(E188="","",IF(OR('Quantification Tool'!$B$15="French Broad",'Quantification Tool'!$B$15="Hiwassee",'Quantification Tool'!$B$15="Little Tennessee",'Quantification Tool'!$B$15="New",'Quantification Tool'!$B$15="Watauga"),IF(E188&lt;22,0,IF(E188&gt;=60,1,ROUND(E188*'Performance Standards'!$AK$185+'Performance Standards'!$AK$186,2))),IF(OR('Quantification Tool'!$B$15="Broad",'Quantification Tool'!$B$15="Catawba",'Quantification Tool'!$B$15="Savannah",'Quantification Tool'!$B$15="Yadkin-PeeDee"),IF(E188&lt;27,0,IF(E188&gt;=60,1,ROUND(E188^2*'Performance Standards'!$AK$219+E188*'Performance Standards'!$AK$220+'Performance Standards'!$AK$221,2))),IF(OR('Quantification Tool'!$B$15="Cape Fear",'Quantification Tool'!$B$15="Neuse",'Quantification Tool'!$B$15="Roanoke",'Quantification Tool'!$B$15="Tar-Pamlico"),IF(E188&lt;26,0,IF(E188&gt;=60,1,ROUND(E188^2*'Performance Standards'!$AK$253+E188*'Performance Standards'!$AK$254+'Performance Standards'!$AK$255,2)))))))</f>
        <v/>
      </c>
      <c r="G188" s="162" t="str">
        <f>IFERROR(AVERAGE(F188),"")</f>
        <v/>
      </c>
      <c r="H188" s="424"/>
      <c r="I188" s="425"/>
      <c r="J188" s="423"/>
      <c r="K188" s="423"/>
      <c r="L188" s="21"/>
    </row>
    <row r="189" spans="1:12" x14ac:dyDescent="0.25">
      <c r="L189" s="21"/>
    </row>
    <row r="190" spans="1:12" ht="13.9" customHeight="1" x14ac:dyDescent="0.25">
      <c r="L190" s="21"/>
    </row>
    <row r="191" spans="1:12" ht="21" x14ac:dyDescent="0.35">
      <c r="A191" s="323" t="s">
        <v>371</v>
      </c>
      <c r="B191" s="324"/>
      <c r="C191" s="325" t="s">
        <v>372</v>
      </c>
      <c r="D191" s="324"/>
      <c r="E191" s="326"/>
      <c r="F191" s="327"/>
      <c r="G191" s="433" t="s">
        <v>18</v>
      </c>
      <c r="H191" s="434"/>
      <c r="I191" s="434"/>
      <c r="J191" s="434"/>
      <c r="K191" s="435"/>
      <c r="L191" s="21"/>
    </row>
    <row r="192" spans="1:12" ht="15.75" x14ac:dyDescent="0.25">
      <c r="A192" s="271" t="s">
        <v>1</v>
      </c>
      <c r="B192" s="271" t="s">
        <v>2</v>
      </c>
      <c r="C192" s="462" t="s">
        <v>3</v>
      </c>
      <c r="D192" s="464"/>
      <c r="E192" s="271" t="s">
        <v>15</v>
      </c>
      <c r="F192" s="271" t="s">
        <v>16</v>
      </c>
      <c r="G192" s="271" t="s">
        <v>19</v>
      </c>
      <c r="H192" s="271" t="s">
        <v>20</v>
      </c>
      <c r="I192" s="271" t="s">
        <v>20</v>
      </c>
      <c r="J192" s="271" t="s">
        <v>21</v>
      </c>
      <c r="K192" s="95" t="s">
        <v>21</v>
      </c>
    </row>
    <row r="193" spans="1:11" ht="15.75" x14ac:dyDescent="0.25">
      <c r="A193" s="447" t="s">
        <v>78</v>
      </c>
      <c r="B193" s="270" t="s">
        <v>177</v>
      </c>
      <c r="C193" s="257" t="s">
        <v>329</v>
      </c>
      <c r="D193" s="97"/>
      <c r="E193" s="253"/>
      <c r="F193" s="260" t="str">
        <f>IF(E193="","",IF(E193&gt;78,0,IF(E193&lt;30,1,ROUND('Performance Standards'!C$14*E193^2+'Performance Standards'!C$15*E193+'Performance Standards'!C$16,2))))</f>
        <v/>
      </c>
      <c r="G193" s="157" t="str">
        <f>IFERROR(AVERAGE(F193),"")</f>
        <v/>
      </c>
      <c r="H193" s="492" t="str">
        <f>IFERROR(ROUND(AVERAGE(G193:G196),2),"")</f>
        <v/>
      </c>
      <c r="I193" s="425" t="str">
        <f>IF(H193="","",IF(H193&gt;0.69,"Functioning",IF(H193&gt;0.29,"Functioning At Risk",IF(H193&gt;-1,"Not Functioning"))))</f>
        <v/>
      </c>
      <c r="J193" s="423" t="str">
        <f>IF(AND(H193="",H197="",H199="",H218="",H224=""),"",ROUND((IF(H193="",0,H193)*0.2)+(IF(H197="",0,H197)*0.2)+(IF(H199="",0,H199)*0.2)+(IF(H218="",0,H218)*0.2)+(IF(H224="",0,H224)*0.2),2))</f>
        <v/>
      </c>
      <c r="K193" s="423" t="str">
        <f>IF(J193="","",IF(J193&lt;0.3, "Not Functioning",IF(OR(H193&lt;0.7,H197&lt;0.7,H199&lt;0.7,H218&lt;0.7,H224&lt;0.7),"Functioning At Risk",IF(J193&lt;0.7,"Functioning At Risk","Functioning"))))</f>
        <v/>
      </c>
    </row>
    <row r="194" spans="1:11" ht="15.75" x14ac:dyDescent="0.25">
      <c r="A194" s="448"/>
      <c r="B194" s="489" t="s">
        <v>328</v>
      </c>
      <c r="C194" s="257" t="s">
        <v>329</v>
      </c>
      <c r="D194" s="256"/>
      <c r="E194" s="253"/>
      <c r="F194" s="260" t="str">
        <f>IF(E194="","",IF(E194&gt;78,0,IF(E194&lt;30,1,ROUND('Performance Standards'!C$14*E194^2+'Performance Standards'!C$15*E194+'Performance Standards'!C$16,2))))</f>
        <v/>
      </c>
      <c r="G194" s="486" t="str">
        <f>IFERROR(AVERAGE(F194:F196),"")</f>
        <v/>
      </c>
      <c r="H194" s="493"/>
      <c r="I194" s="425"/>
      <c r="J194" s="423"/>
      <c r="K194" s="423"/>
    </row>
    <row r="195" spans="1:11" ht="15.75" x14ac:dyDescent="0.25">
      <c r="A195" s="448"/>
      <c r="B195" s="490"/>
      <c r="C195" s="258" t="s">
        <v>330</v>
      </c>
      <c r="D195" s="97"/>
      <c r="E195" s="304"/>
      <c r="F195" s="98" t="str">
        <f>IF(E195="","",IF(E195&gt;3,0,IF(E195=0,1,ROUND('Performance Standards'!C$48*E195+'Performance Standards'!C$49,2))))</f>
        <v/>
      </c>
      <c r="G195" s="487"/>
      <c r="H195" s="493"/>
      <c r="I195" s="425"/>
      <c r="J195" s="423"/>
      <c r="K195" s="423"/>
    </row>
    <row r="196" spans="1:11" ht="15.75" x14ac:dyDescent="0.25">
      <c r="A196" s="448"/>
      <c r="B196" s="491"/>
      <c r="C196" s="259" t="s">
        <v>331</v>
      </c>
      <c r="D196" s="101"/>
      <c r="E196" s="305"/>
      <c r="F196" s="255" t="str">
        <f>IF(E196="","",IF(E196&gt;=30,1,ROUND('Performance Standards'!$C$83*E196^2+'Performance Standards'!$C$84*E196+'Performance Standards'!$C$85,2)))</f>
        <v/>
      </c>
      <c r="G196" s="488"/>
      <c r="H196" s="493"/>
      <c r="I196" s="425"/>
      <c r="J196" s="423"/>
      <c r="K196" s="423"/>
    </row>
    <row r="197" spans="1:11" ht="15.75" x14ac:dyDescent="0.25">
      <c r="A197" s="445" t="s">
        <v>6</v>
      </c>
      <c r="B197" s="445" t="s">
        <v>7</v>
      </c>
      <c r="C197" s="102" t="s">
        <v>8</v>
      </c>
      <c r="D197" s="102"/>
      <c r="E197" s="304"/>
      <c r="F197" s="103" t="str">
        <f>IF(E197="","",ROUND(IF(E197&gt;1.6,0,IF(E197&lt;=1,1,E197^2*'Performance Standards'!K$14+E197*'Performance Standards'!K$15+'Performance Standards'!K$16)),2))</f>
        <v/>
      </c>
      <c r="G197" s="449" t="str">
        <f>IFERROR(AVERAGE(F197:F198),"")</f>
        <v/>
      </c>
      <c r="H197" s="449" t="str">
        <f>IFERROR(ROUND(AVERAGE(G197),2),"")</f>
        <v/>
      </c>
      <c r="I197" s="436" t="str">
        <f>IF(H197="","",IF(H197&gt;0.69,"Functioning",IF(H197&gt;0.29,"Functioning At Risk",IF(H197&gt;-1,"Not Functioning"))))</f>
        <v/>
      </c>
      <c r="J197" s="423"/>
      <c r="K197" s="423"/>
    </row>
    <row r="198" spans="1:11" ht="15.75" x14ac:dyDescent="0.25">
      <c r="A198" s="446"/>
      <c r="B198" s="446"/>
      <c r="C198" s="104" t="s">
        <v>9</v>
      </c>
      <c r="D198" s="104"/>
      <c r="E198" s="305"/>
      <c r="F198" s="105" t="str">
        <f>IF(E198="","",IF(OR('Quantification Tool'!B$7="A",'Quantification Tool'!B$7="B", 'Quantification Tool'!B$7="Bc"),IF(E198&lt;1.2,0,IF(E198&gt;=2.2,1,ROUND(IF(E198&lt;1.4,E198*'Performance Standards'!$K$84+'Performance Standards'!$K$85,E198*'Performance Standards'!$L$84+'Performance Standards'!$L$85),2))),IF(OR('Quantification Tool'!B$7="C",'Quantification Tool'!B$7="E"),IF(E198&lt;2,0,IF(E198&gt;=5,1,ROUND(IF(E198&lt;2.4,E198*'Performance Standards'!$L$49+'Performance Standards'!$L$50,E198*'Performance Standards'!$K$49+'Performance Standards'!$K$50),2))))))</f>
        <v/>
      </c>
      <c r="G198" s="450"/>
      <c r="H198" s="450"/>
      <c r="I198" s="437"/>
      <c r="J198" s="423"/>
      <c r="K198" s="423"/>
    </row>
    <row r="199" spans="1:11" ht="15.75" x14ac:dyDescent="0.25">
      <c r="A199" s="439" t="s">
        <v>30</v>
      </c>
      <c r="B199" s="439" t="s">
        <v>31</v>
      </c>
      <c r="C199" s="111" t="s">
        <v>27</v>
      </c>
      <c r="D199" s="318"/>
      <c r="E199" s="253"/>
      <c r="F199" s="132" t="str">
        <f>IF(E199="","",IF(E199&gt;700,1,IF(E199&lt;300,ROUND('Performance Standards'!$S$14*(E199^2)+'Performance Standards'!$S$15*E199+'Performance Standards'!$S$16,2),ROUND('Performance Standards'!$T$15*E199+'Performance Standards'!$T$16,2))))</f>
        <v/>
      </c>
      <c r="G199" s="441" t="str">
        <f>IFERROR(AVERAGE(F199:F200),"")</f>
        <v/>
      </c>
      <c r="H199" s="438" t="str">
        <f>IFERROR(ROUND(AVERAGE(G199:G217),2),"")</f>
        <v/>
      </c>
      <c r="I199" s="423" t="str">
        <f>IF(H199="","",IF(H199&gt;0.69,"Functioning",IF(H199&gt;0.29,"Functioning At Risk",IF(H199&gt;-1,"Not Functioning"))))</f>
        <v/>
      </c>
      <c r="J199" s="423"/>
      <c r="K199" s="423"/>
    </row>
    <row r="200" spans="1:11" ht="15.75" x14ac:dyDescent="0.25">
      <c r="A200" s="443"/>
      <c r="B200" s="440"/>
      <c r="C200" s="113" t="s">
        <v>369</v>
      </c>
      <c r="D200" s="317"/>
      <c r="E200" s="305"/>
      <c r="F200" s="319" t="str">
        <f>IF(E200="","",IF(E200&gt;30,1,IF(E200&lt;16,ROUND('Performance Standards'!$S$48*(E200^2)+'Performance Standards'!$S$49*E200+'Performance Standards'!$S$50,2),ROUND('Performance Standards'!$T$49*E200+'Performance Standards'!$T$50,2))))</f>
        <v/>
      </c>
      <c r="G200" s="442"/>
      <c r="H200" s="438"/>
      <c r="I200" s="423"/>
      <c r="J200" s="423"/>
      <c r="K200" s="423"/>
    </row>
    <row r="201" spans="1:11" ht="15.75" x14ac:dyDescent="0.25">
      <c r="A201" s="443"/>
      <c r="B201" s="443" t="s">
        <v>54</v>
      </c>
      <c r="C201" s="111" t="s">
        <v>156</v>
      </c>
      <c r="D201" s="114"/>
      <c r="E201" s="253"/>
      <c r="F201" s="109" t="str">
        <f>IF(E201="","",ROUND(IF(E201&gt;0.7,0,IF(E201&lt;=0.1,1,E201^3*'Performance Standards'!S$83+E201^2*'Performance Standards'!S$84+E201*'Performance Standards'!S$85+'Performance Standards'!S$86)),2))</f>
        <v/>
      </c>
      <c r="G201" s="444" t="str">
        <f>IFERROR(IF(E201="",AVERAGE(F202:F203),IF(E202="",F201,MIN(F201,AVERAGE(F202:F203)))),"")</f>
        <v/>
      </c>
      <c r="H201" s="438"/>
      <c r="I201" s="423"/>
      <c r="J201" s="423"/>
      <c r="K201" s="423"/>
    </row>
    <row r="202" spans="1:11" ht="15.75" x14ac:dyDescent="0.25">
      <c r="A202" s="443"/>
      <c r="B202" s="443"/>
      <c r="C202" s="112" t="s">
        <v>55</v>
      </c>
      <c r="D202" s="108"/>
      <c r="E202" s="304"/>
      <c r="F202" s="109" t="str">
        <f>IF(E202="","",IF(OR(E202="Ex/Ex",E202="Ex/VH"),0, IF(OR(E202="Ex/H",E202="VH/Ex",E202="VH/VH", E202="H/Ex",E202="H/VH",E202="M/Ex"),0.1,IF(OR(E202="Ex/M",E202="VH/H",E202="H/H", E202="M/VH"),0.2, IF(OR(E202="Ex/L",E202="VH/M",E202="H/M", E202="M/H",E202="L/Ex"),0.3, IF(OR(E202="Ex/VL",E202="VH/L",E202="H/L"),0.4, IF(OR(E202="VH/VL",E202="H/VL",E202="M/M", E202="L/VH"),0.5, IF(OR(E202="M/L",E202="L/H"),0.6, IF(OR(E202="M/VL",E202="L/M"),0.7, IF(OR(E202="L/L",E202="L/VL"),1))))))))))</f>
        <v/>
      </c>
      <c r="G202" s="444"/>
      <c r="H202" s="438"/>
      <c r="I202" s="423"/>
      <c r="J202" s="423"/>
      <c r="K202" s="423"/>
    </row>
    <row r="203" spans="1:11" ht="15.75" x14ac:dyDescent="0.25">
      <c r="A203" s="443"/>
      <c r="B203" s="443"/>
      <c r="C203" s="113" t="s">
        <v>192</v>
      </c>
      <c r="D203" s="116"/>
      <c r="E203" s="305"/>
      <c r="F203" s="118" t="str">
        <f>IF(E203="","",ROUND(IF(E203&gt;40,0,IF(E203&lt;5,1,E203^3*'Performance Standards'!S$118+E203^2*'Performance Standards'!S$119+E203*'Performance Standards'!S$120+'Performance Standards'!S$121)),2))</f>
        <v/>
      </c>
      <c r="G203" s="444"/>
      <c r="H203" s="438"/>
      <c r="I203" s="423"/>
      <c r="J203" s="423"/>
      <c r="K203" s="423"/>
    </row>
    <row r="204" spans="1:11" ht="15.75" x14ac:dyDescent="0.25">
      <c r="A204" s="443"/>
      <c r="B204" s="439" t="s">
        <v>56</v>
      </c>
      <c r="C204" s="114" t="s">
        <v>242</v>
      </c>
      <c r="D204" s="114"/>
      <c r="E204" s="253"/>
      <c r="F204" s="132" t="str">
        <f>IF(E204="","",ROUND(IF(E204&gt;90,1,E204^2*'Performance Standards'!S$153+E204*'Performance Standards'!S$154+'Performance Standards'!S$155),2))</f>
        <v/>
      </c>
      <c r="G204" s="441" t="str">
        <f>IFERROR(AVERAGE(F204:F211),"")</f>
        <v/>
      </c>
      <c r="H204" s="438"/>
      <c r="I204" s="423"/>
      <c r="J204" s="423"/>
      <c r="K204" s="423"/>
    </row>
    <row r="205" spans="1:11" ht="15.75" x14ac:dyDescent="0.25">
      <c r="A205" s="443"/>
      <c r="B205" s="443"/>
      <c r="C205" s="108" t="s">
        <v>243</v>
      </c>
      <c r="D205" s="108"/>
      <c r="E205" s="304"/>
      <c r="F205" s="109" t="str">
        <f>IF(E205="","",ROUND(IF(E205&gt;90,1,E205^2*'Performance Standards'!S$153+E205*'Performance Standards'!S$154+'Performance Standards'!S$155),2))</f>
        <v/>
      </c>
      <c r="G205" s="444"/>
      <c r="H205" s="438"/>
      <c r="I205" s="423"/>
      <c r="J205" s="423"/>
      <c r="K205" s="423"/>
    </row>
    <row r="206" spans="1:11" ht="15.75" x14ac:dyDescent="0.25">
      <c r="A206" s="443"/>
      <c r="B206" s="443"/>
      <c r="C206" s="108" t="s">
        <v>170</v>
      </c>
      <c r="D206" s="108"/>
      <c r="E206" s="304"/>
      <c r="F206" s="109" t="str">
        <f>IF(E206="","",ROUND(IF(OR('Quantification Tool'!B$7="A",'Quantification Tool'!B$7="B",'Quantification Tool'!B$7="Bc"),IF(E206&gt;=50,1, IF(E206&lt;30, E206*'Performance Standards'!S$188+'Performance Standards'!S$189, E206*'Performance Standards'!T$188+'Performance Standards'!T$189)), IF(E206&gt;=150,1,IF(E206&lt;48, E206^2*'Performance Standards'!S$222+E206*'Performance Standards'!S$223+'Performance Standards'!S$224, E206*'Performance Standards'!T$223+'Performance Standards'!T$224))),2))</f>
        <v/>
      </c>
      <c r="G206" s="444"/>
      <c r="H206" s="438"/>
      <c r="I206" s="423"/>
      <c r="J206" s="423"/>
      <c r="K206" s="423"/>
    </row>
    <row r="207" spans="1:11" ht="15.75" x14ac:dyDescent="0.25">
      <c r="A207" s="443"/>
      <c r="B207" s="443"/>
      <c r="C207" s="108" t="s">
        <v>171</v>
      </c>
      <c r="D207" s="108"/>
      <c r="E207" s="304"/>
      <c r="F207" s="109" t="str">
        <f>IF(E207="","",ROUND(IF(OR('Quantification Tool'!B$7="A",'Quantification Tool'!B$7="B",'Quantification Tool'!B$7="Bc"),IF(E207&gt;=50,1, IF(E207&lt;30, E207*'Performance Standards'!S$188+'Performance Standards'!S$189, E207*'Performance Standards'!T$188+'Performance Standards'!T$189)), IF(E207&gt;=150,1,IF(E207&lt;48, E207^2*'Performance Standards'!S$222+E207*'Performance Standards'!S$223+'Performance Standards'!S$224, E207*'Performance Standards'!T$223+'Performance Standards'!T$224))),2))</f>
        <v/>
      </c>
      <c r="G207" s="444"/>
      <c r="H207" s="438"/>
      <c r="I207" s="423"/>
      <c r="J207" s="423"/>
      <c r="K207" s="423"/>
    </row>
    <row r="208" spans="1:11" ht="15.75" x14ac:dyDescent="0.25">
      <c r="A208" s="443"/>
      <c r="B208" s="443"/>
      <c r="C208" s="108" t="s">
        <v>251</v>
      </c>
      <c r="D208" s="108"/>
      <c r="E208" s="304"/>
      <c r="F208" s="109" t="str">
        <f>IF(E208="","",ROUND(IF(E208&gt;100,1,E208^2*'Performance Standards'!S$255+E208*'Performance Standards'!S$256+'Performance Standards'!S$257),2))</f>
        <v/>
      </c>
      <c r="G208" s="444"/>
      <c r="H208" s="438"/>
      <c r="I208" s="423"/>
      <c r="J208" s="423"/>
      <c r="K208" s="423"/>
    </row>
    <row r="209" spans="1:13" ht="15.75" x14ac:dyDescent="0.25">
      <c r="A209" s="443"/>
      <c r="B209" s="443"/>
      <c r="C209" s="108" t="s">
        <v>252</v>
      </c>
      <c r="D209" s="108"/>
      <c r="E209" s="304"/>
      <c r="F209" s="109" t="str">
        <f>IF(E209="","",ROUND(IF(E209&gt;100,1,E209^2*'Performance Standards'!S$255+E209*'Performance Standards'!S$256+'Performance Standards'!S$257),2))</f>
        <v/>
      </c>
      <c r="G209" s="444"/>
      <c r="H209" s="438"/>
      <c r="I209" s="423"/>
      <c r="J209" s="423"/>
      <c r="K209" s="423"/>
    </row>
    <row r="210" spans="1:13" ht="15.75" x14ac:dyDescent="0.25">
      <c r="A210" s="443"/>
      <c r="B210" s="443"/>
      <c r="C210" s="112" t="s">
        <v>342</v>
      </c>
      <c r="D210" s="108"/>
      <c r="E210" s="304"/>
      <c r="F210" s="109" t="str">
        <f>IF(E210="","",ROUND(IF(E210&gt;=260,0.5,E210*'Performance Standards'!S$288+'Performance Standards'!S$289),2))</f>
        <v/>
      </c>
      <c r="G210" s="444"/>
      <c r="H210" s="438"/>
      <c r="I210" s="423"/>
      <c r="J210" s="423"/>
      <c r="K210" s="423"/>
      <c r="M210" s="21"/>
    </row>
    <row r="211" spans="1:13" ht="15.75" x14ac:dyDescent="0.25">
      <c r="A211" s="443"/>
      <c r="B211" s="440"/>
      <c r="C211" s="113" t="s">
        <v>343</v>
      </c>
      <c r="D211" s="108"/>
      <c r="E211" s="304"/>
      <c r="F211" s="219" t="str">
        <f>IF(E211="","",ROUND(IF(E211&gt;=260,0.5,E211*'Performance Standards'!S$288+'Performance Standards'!S$289),2))</f>
        <v/>
      </c>
      <c r="G211" s="442"/>
      <c r="H211" s="438"/>
      <c r="I211" s="423"/>
      <c r="J211" s="423"/>
      <c r="K211" s="423"/>
    </row>
    <row r="212" spans="1:13" ht="15.75" x14ac:dyDescent="0.25">
      <c r="A212" s="443"/>
      <c r="B212" s="106" t="s">
        <v>254</v>
      </c>
      <c r="C212" s="131" t="s">
        <v>345</v>
      </c>
      <c r="D212" s="107"/>
      <c r="E212" s="87"/>
      <c r="F212" s="109" t="str">
        <f>IF(E212="","",IF('Quantification Tool'!B$10="Gravel",IF(E212&gt;0.1,1,IF(E212&lt;=0.01,0,ROUND(E212*'Performance Standards'!$S$323+'Performance Standards'!$S$324,2)))))</f>
        <v/>
      </c>
      <c r="G212" s="155" t="str">
        <f>IFERROR(AVERAGE(F212),"")</f>
        <v/>
      </c>
      <c r="H212" s="438"/>
      <c r="I212" s="423"/>
      <c r="J212" s="423"/>
      <c r="K212" s="423"/>
    </row>
    <row r="213" spans="1:13" ht="15.75" x14ac:dyDescent="0.25">
      <c r="A213" s="443"/>
      <c r="B213" s="439" t="s">
        <v>57</v>
      </c>
      <c r="C213" s="111" t="s">
        <v>58</v>
      </c>
      <c r="D213" s="114"/>
      <c r="E213" s="253"/>
      <c r="F213" s="310" t="str">
        <f>IF(E213="","",IF('Quantification Tool'!B$13&gt;=4,IF(AND(E213&lt;=5,E213&gt;=0.1),1,IF(OR(E213&lt;0.1,E213&gt;8),0,ROUND(E213*'Performance Standards'!$S$357+'Performance Standards'!$S$358,2))), IF(AND('Quantification Tool'!B$9&gt;=10,OR('Quantification Tool'!B$7="C",'Quantification Tool'!B$7="E")),IF(OR(E213&lt;3,E213&gt;8),0,IF(AND(E213&gt;=4,E213&lt;=7),1,ROUND(E213^2*'Performance Standards'!$S$389+E213*'Performance Standards'!$S$390+'Performance Standards'!$S$391,2))),  IF(AND('Quantification Tool'!B$9&lt;10,OR('Quantification Tool'!B$7="C",'Quantification Tool'!B$7="E")),IF(OR(E213&lt;3,E213&gt;7),0,IF(E213&lt;4,ROUND(E213*'Performance Standards'!$S$423+'Performance Standards'!$S$424,2), IF(E213&gt;5, ROUND(E213*'Performance Standards'!$T$423+'Performance Standards'!T$424,2),1))),IF(OR(AND('Quantification Tool'!B$13&lt;2,'Quantification Tool'!B$7="Bc"),AND('Quantification Tool'!B$13&gt;=2,'Quantification Tool'!B$13&lt;=4,'Quantification Tool'!B$7="B")),ROUND(IF(E213&gt;8,0,IF(E213&lt;=0.6,1,E213^2*'Performance Standards'!$S$455+E213*'Performance Standards'!$S$456+'Performance Standards'!$S$457)),2))))))</f>
        <v/>
      </c>
      <c r="G213" s="441" t="str">
        <f>IFERROR(AVERAGE(F213:F216),"")</f>
        <v/>
      </c>
      <c r="H213" s="438"/>
      <c r="I213" s="423"/>
      <c r="J213" s="423"/>
      <c r="K213" s="423"/>
    </row>
    <row r="214" spans="1:13" ht="15.75" x14ac:dyDescent="0.25">
      <c r="A214" s="443"/>
      <c r="B214" s="443"/>
      <c r="C214" s="112" t="s">
        <v>59</v>
      </c>
      <c r="D214" s="108"/>
      <c r="E214" s="304"/>
      <c r="F214" s="311" t="str">
        <f>IF(E214="","",IF(E214&lt;=1.1,0,IF(OR('Quantification Tool'!B$7="A", 'Quantification Tool'!B$7="B", 'Quantification Tool'!B$7="Bc"),IF(E214&gt;1.74,1,ROUND(IF(E214&lt;1.2,E214*'Performance Standards'!S$556+'Performance Standards'!S$557,E214*'Performance Standards'!T$556+'Performance Standards'!T$557),2)),IF(OR('Quantification Tool'!B$7="C", 'Quantification Tool'!B$7="E"),IF('Quantification Tool'!B$10="Gravel",IF(E214&gt;1.74,1,ROUND(IF(E214&lt;1.2,E214*'Performance Standards'!S$489+'Performance Standards'!S$490,E214*'Performance Standards'!T$489+'Performance Standards'!T$490),2)),IF('Quantification Tool'!B$10="Sand",IF(E214&gt;=1.25,1,ROUND(E214^2*'Performance Standards'!S$521+E214*'Performance Standards'!S$522+'Performance Standards'!S$523,2))))))))</f>
        <v/>
      </c>
      <c r="G214" s="444"/>
      <c r="H214" s="438"/>
      <c r="I214" s="423"/>
      <c r="J214" s="423"/>
      <c r="K214" s="423"/>
    </row>
    <row r="215" spans="1:13" ht="15.75" x14ac:dyDescent="0.25">
      <c r="A215" s="443"/>
      <c r="B215" s="443"/>
      <c r="C215" s="112" t="s">
        <v>62</v>
      </c>
      <c r="D215" s="108"/>
      <c r="E215" s="304"/>
      <c r="F215" s="312" t="str">
        <f>IF(E215="","",IF('Quantification Tool'!B$13="","Need Slope",IF('Quantification Tool'!B$13&lt;3,ROUND(IF(OR(E215&gt;83,E215&lt;32),0, IF(E215&lt;60,E215*'Performance Standards'!S$591+'Performance Standards'!S$592,IF(E215&gt;70,E215^2*'Performance Standards'!T$590+E215*'Performance Standards'!T$591+'Performance Standards'!T$592,1))),2),IF('Quantification Tool'!B$13&gt;10,ROUND(IF(E215&gt;=80,1,IF(E215&lt;67,0,E215^2*'Performance Standards'!S$657+E215*'Performance Standards'!S$658+'Performance Standards'!S$659)),2),IF(OR(E215&gt;76, E215&lt;34),0,IF(AND(E215&gt;49,E215&lt;61),1,ROUND(IF(E215&lt;50,E215*'Performance Standards'!S$625+'Performance Standards'!S$626,E215*'Performance Standards'!T$625+'Performance Standards'!T$626),2)))))))</f>
        <v/>
      </c>
      <c r="G215" s="444"/>
      <c r="H215" s="438"/>
      <c r="I215" s="423"/>
      <c r="J215" s="423"/>
      <c r="K215" s="423"/>
    </row>
    <row r="216" spans="1:13" ht="15.75" x14ac:dyDescent="0.25">
      <c r="A216" s="443"/>
      <c r="B216" s="440"/>
      <c r="C216" s="116" t="s">
        <v>363</v>
      </c>
      <c r="D216" s="116"/>
      <c r="E216" s="305"/>
      <c r="F216" s="117" t="str">
        <f>IF(E216="","",IF(E216&gt;=1.6,0,IF(E216&lt;=1,1,ROUND('Performance Standards'!$S$689*E216^3+'Performance Standards'!$S$690*E216^2+'Performance Standards'!$S$691*E216+'Performance Standards'!$S$692,2))))</f>
        <v/>
      </c>
      <c r="G216" s="442"/>
      <c r="H216" s="438"/>
      <c r="I216" s="423"/>
      <c r="J216" s="423"/>
      <c r="K216" s="423"/>
    </row>
    <row r="217" spans="1:13" ht="15.75" x14ac:dyDescent="0.25">
      <c r="A217" s="440"/>
      <c r="B217" s="320" t="s">
        <v>64</v>
      </c>
      <c r="C217" s="116" t="s">
        <v>63</v>
      </c>
      <c r="D217" s="116"/>
      <c r="E217" s="305"/>
      <c r="F217" s="118" t="str">
        <f>IF(E217="","",IF(AND('Quantification Tool'!B$7="E",'Quantification Tool'!$B$10="Sand",'Quantification Tool'!$B$18="Unconfined Alluvial"),ROUND(IF(OR(E217&gt;1.8,E217&lt;1.3),0,IF(E217&lt;=1.6,1,E217*'Performance Standards'!$S$723+'Performance Standards'!$S$724)),2),    IF('Quantification Tool'!$B$18="Unconfined Alluvial",ROUND(IF(OR(E217&lt;1.2, E217&gt;1.5),0,IF(E217&lt;=1.4,1,E217*'Performance Standards'!$S$756+'Performance Standards'!$S$757)),2), IF('Quantification Tool'!$B$18="Confined Alluvial",ROUND(IF(E217&lt;1.15,0,IF(E217&lt;=1.4,E217*'Performance Standards'!$S$785+'Performance Standards'!$S$786,1)),2),  IF('Quantification Tool'!$B$18="Colluvial",ROUND(IF(E217&gt;1.3,0,IF(E217&gt;1.2,E217*'Performance Standards'!$S$815+'Performance Standards'!$S$816,1)),2) )))))</f>
        <v/>
      </c>
      <c r="G217" s="158" t="str">
        <f>IFERROR(AVERAGE(F217),"")</f>
        <v/>
      </c>
      <c r="H217" s="438"/>
      <c r="I217" s="423"/>
      <c r="J217" s="423"/>
      <c r="K217" s="423"/>
      <c r="L217" s="13"/>
    </row>
    <row r="218" spans="1:13" ht="15.75" x14ac:dyDescent="0.25">
      <c r="A218" s="431" t="s">
        <v>68</v>
      </c>
      <c r="B218" s="122" t="s">
        <v>161</v>
      </c>
      <c r="C218" s="133" t="s">
        <v>438</v>
      </c>
      <c r="D218" s="123"/>
      <c r="E218" s="87"/>
      <c r="F218" s="124" t="str">
        <f>IF(E218="","",IF('Quantification Tool'!$B$16="Coldwater",IF(E218&gt;77,0,IF(E218&lt;59,1,ROUND(E218*'Performance Standards'!$AB$15+'Performance Standards'!$AB$16,2))),IF('Quantification Tool'!$B$16="Coolwater",IF(E218&gt;97,0,IF(E218&lt;67,1,ROUND(E218*'Performance Standards'!$AC$15+'Performance Standards'!$AC$16,2))))))</f>
        <v/>
      </c>
      <c r="G218" s="159" t="str">
        <f>IFERROR(AVERAGE(F218),"")</f>
        <v/>
      </c>
      <c r="H218" s="426" t="str">
        <f>IFERROR(ROUND(AVERAGE(G218:G223),2),"")</f>
        <v/>
      </c>
      <c r="I218" s="425" t="str">
        <f>IF(H218="","",IF(H218&gt;0.69,"Functioning",IF(H218&gt;0.29,"Functioning At Risk",IF(H218&gt;-1,"Not Functioning"))))</f>
        <v/>
      </c>
      <c r="J218" s="423"/>
      <c r="K218" s="423"/>
      <c r="L218" s="13"/>
    </row>
    <row r="219" spans="1:13" ht="15.75" x14ac:dyDescent="0.25">
      <c r="A219" s="430"/>
      <c r="B219" s="268" t="s">
        <v>194</v>
      </c>
      <c r="C219" s="127" t="s">
        <v>197</v>
      </c>
      <c r="D219" s="120"/>
      <c r="E219" s="304"/>
      <c r="F219" s="121" t="str">
        <f>IF(E219="","",ROUND(IF(E219&gt;=284,0,E219*'Performance Standards'!AB$116+'Performance Standards'!AB$117),2))</f>
        <v/>
      </c>
      <c r="G219" s="159" t="str">
        <f>IFERROR(AVERAGE(F219),"")</f>
        <v/>
      </c>
      <c r="H219" s="426"/>
      <c r="I219" s="425"/>
      <c r="J219" s="423"/>
      <c r="K219" s="423"/>
      <c r="L219" s="21"/>
    </row>
    <row r="220" spans="1:13" ht="15.75" x14ac:dyDescent="0.25">
      <c r="A220" s="430"/>
      <c r="B220" s="430" t="s">
        <v>195</v>
      </c>
      <c r="C220" s="263" t="s">
        <v>92</v>
      </c>
      <c r="D220" s="215"/>
      <c r="E220" s="253"/>
      <c r="F220" s="134" t="str">
        <f>IF(E220="","",IF(OR(E220&lt;0.5,E220&gt;2), 0, ROUND(IF(E220&lt;0.75, E220*'Performance Standards'!$AB$153+'Performance Standards'!$AB$154, IF(E220&lt;=1.33, E220*'Performance Standards'!$AC$153+'Performance Standards'!$AC$154,E220*'Performance Standards'!$AD$153+'Performance Standards'!$AD$154)),2)))</f>
        <v/>
      </c>
      <c r="G220" s="456" t="str">
        <f>IFERROR(AVERAGE(F220:F221),"")</f>
        <v/>
      </c>
      <c r="H220" s="426"/>
      <c r="I220" s="425"/>
      <c r="J220" s="423"/>
      <c r="K220" s="423"/>
      <c r="L220" s="21"/>
    </row>
    <row r="221" spans="1:13" ht="15.75" x14ac:dyDescent="0.25">
      <c r="A221" s="430"/>
      <c r="B221" s="430"/>
      <c r="C221" s="135" t="s">
        <v>193</v>
      </c>
      <c r="D221" s="127"/>
      <c r="E221" s="305"/>
      <c r="F221" s="121" t="str">
        <f>IF(E221="","",IF('Quantification Tool'!$B$8 = "Mountains", IF('Quantification Tool'!$B$9 &lt;=5, IF( 'Quantification Tool'!$B$17= "Winter/Spring", ROUND(IF(E221&gt;=23,1,E221*'Performance Standards'!$AB$188+'Performance Standards'!$AB$189),2), IF('Quantification Tool'!$B$17= "Summer", ROUND(IF(E221&gt;=21,1,E221*'Performance Standards'!$AC$188),2), IF('Quantification Tool'!$B$17= "Fall", ROUND(IF(E221&gt;=18,1,E221*'Performance Standards'!$AD$188),2)))), IF('Quantification Tool'!$B$9&lt;10, IF('Quantification Tool'!$B$17= "Winter/Spring", ROUND(IF(E221&gt;16,1,E221*'Performance Standards'!$AB$222),2),IF('Quantification Tool'!$B$17= "Summer",ROUND(IF(E221&gt;14,1,E221*'Performance Standards'!$AC$222),2), IF('Quantification Tool'!$B$17= "Fall",ROUND(IF(E221&gt;12,1,E221*'Performance Standards'!$AD$222),2)))), IF('Quantification Tool'!$B$17= "Winter/Spring", ROUND(IF(E221&gt;14,1,E221*'Performance Standards'!$AB$256),2),IF('Quantification Tool'!$B$17= "Summer",ROUND(IF(E221&gt;16,1,E221*'Performance Standards'!$AC$256),2), IF('Quantification Tool'!$B$17= "Fall",ROUND(IF(E221&gt;15,1,E221*'Performance Standards'!$AD$256),2)))))), IF('Quantification Tool'!$B$8 = "Piedmont",  IF('Quantification Tool'!$B$9 &lt;=5, IF( 'Quantification Tool'!$B$17= "Winter/Spring", ROUND(IF(E221&gt;=18,1,E221*'Performance Standards'!$AB$290),2), IF('Quantification Tool'!$B$17= "Summer", ROUND(IF(E221&gt;=12,1,E221*'Performance Standards'!$AC$290),2), IF('Quantification Tool'!$B$17= "Fall", ROUND(IF(E221&gt;=14,1,E221*'Performance Standards'!$AD$290),2)))), IF('Quantification Tool'!$B$9&lt;10, IF('Quantification Tool'!$B$17= "Winter/Spring", ROUND(IF(E221&gt;12,1,E221*'Performance Standards'!$AB$326),2),IF('Quantification Tool'!$B$17= "Summer",ROUND(IF(E221&gt;5,1,E221*'Performance Standards'!$AC$326),2), IF('Quantification Tool'!$B$17= "Fall",ROUND(IF(E221&gt;8,1,E221*'Performance Standards'!$AD$326),2)))), IF('Quantification Tool'!$B$17= "Winter/Spring", ROUND(IF(E221&gt;8,1,E221*'Performance Standards'!$AB$360),2),IF('Quantification Tool'!$B$17= "Summer",ROUND(IF(E221&gt;7,1,E221*'Performance Standards'!$AC$360),2), IF('Quantification Tool'!$B$17= "Fall",ROUND(IF(E221&gt;8,1,E221*'Performance Standards'!$AD$360),2)))))),IF('Quantification Tool'!$B$8 = "Coastal Plain", IF('Quantification Tool'!$B$9 &lt;=5, IF( 'Quantification Tool'!$B$17= "Winter/Spring", ROUND(IF(E221&gt;=33,1,E221*'Performance Standards'!$AB$392),2), IF('Quantification Tool'!$B$17= "Summer", ROUND(IF(E221&gt;=14,1,E221*'Performance Standards'!$AC$392),2), IF('Quantification Tool'!$B$17= "Fall", ROUND(IF(E221&gt;=25,1,E221*'Performance Standards'!$AD$392),2)))), IF('Quantification Tool'!$B$9&lt;10, IF('Quantification Tool'!$B$17= "Winter/Spring", ROUND(IF(E221&gt;20,1,E221*'Performance Standards'!$AB$424),2),IF('Quantification Tool'!$B$17= "Summer",ROUND(IF(E221&gt;13,1,E221*'Performance Standards'!$AC$424),2), IF('Quantification Tool'!$B$17= "Fall",ROUND(IF(E221&gt;12,1,E221*'Performance Standards'!$AD$424),2)))), IF('Quantification Tool'!$B$17= "Winter/Spring", ROUND(IF(E221&gt;17,1,E221*'Performance Standards'!$AB$458),2),IF('Quantification Tool'!$B$17= "Summer",ROUND(IF(E221&gt;16,1,E221*'Performance Standards'!$AC$458),2), IF('Quantification Tool'!$B$17= "Fall",ROUND(IF(E221&gt;8,1,E221*'Performance Standards'!$AD$458),2))))))))))</f>
        <v/>
      </c>
      <c r="G221" s="457"/>
      <c r="H221" s="426"/>
      <c r="I221" s="425"/>
      <c r="J221" s="423"/>
      <c r="K221" s="423"/>
      <c r="L221" s="21"/>
    </row>
    <row r="222" spans="1:13" ht="15.75" x14ac:dyDescent="0.25">
      <c r="A222" s="430"/>
      <c r="B222" s="122" t="s">
        <v>162</v>
      </c>
      <c r="C222" s="377" t="s">
        <v>446</v>
      </c>
      <c r="D222" s="123"/>
      <c r="E222" s="304"/>
      <c r="F222" s="125" t="str">
        <f>IF(E222="","",IF(E222&gt;4,0,ROUND(E222^2*'Performance Standards'!$AB$488+E222*'Performance Standards'!$AB$489+'Performance Standards'!$AB$490,2)))</f>
        <v/>
      </c>
      <c r="G222" s="161" t="str">
        <f>IFERROR(AVERAGE(F222),"")</f>
        <v/>
      </c>
      <c r="H222" s="426"/>
      <c r="I222" s="425"/>
      <c r="J222" s="423"/>
      <c r="K222" s="423"/>
      <c r="L222" s="21"/>
    </row>
    <row r="223" spans="1:13" ht="15.75" x14ac:dyDescent="0.25">
      <c r="A223" s="432"/>
      <c r="B223" s="268" t="s">
        <v>163</v>
      </c>
      <c r="C223" s="377" t="s">
        <v>447</v>
      </c>
      <c r="D223" s="120"/>
      <c r="E223" s="253"/>
      <c r="F223" s="121" t="str">
        <f>IF(E223="","",IF(E223&gt;0.23,0,ROUND(E223^2*'Performance Standards'!$AB$521+E223*'Performance Standards'!$AB$522+'Performance Standards'!$AB$523,2)))</f>
        <v/>
      </c>
      <c r="G223" s="159" t="str">
        <f>IFERROR(AVERAGE(F223),"")</f>
        <v/>
      </c>
      <c r="H223" s="426"/>
      <c r="I223" s="425"/>
      <c r="J223" s="423"/>
      <c r="K223" s="423"/>
      <c r="L223" s="21"/>
    </row>
    <row r="224" spans="1:13" ht="15.75" x14ac:dyDescent="0.25">
      <c r="A224" s="427" t="s">
        <v>70</v>
      </c>
      <c r="B224" s="451" t="s">
        <v>93</v>
      </c>
      <c r="C224" s="226" t="s">
        <v>253</v>
      </c>
      <c r="D224" s="227"/>
      <c r="E224" s="253"/>
      <c r="F224" s="228" t="str">
        <f>IF(E224="","",IF('Quantification Tool'!B$8="Mountains",IF(E224&gt;6.52,0,IF(E224&lt;3.3,1,ROUND(IF(E224&gt;5.62,E224*'Performance Standards'!AL$15+'Performance Standards'!AL$16, E224^2*'Performance Standards'!AK$15+E224*'Performance Standards'!AK$16+'Performance Standards'!AK$17),2))),IF('Quantification Tool'!B$8="Piedmont",IF(E224&gt;6.91,0, IF(E224&lt;4.31,1, ROUND(IF(E224&gt;5.85, E224*'Performance Standards'!$AL$49+'Performance Standards'!$AL$50, E224^2*'Performance Standards'!AK$49+E224*'Performance Standards'!AK$50+'Performance Standards'!AK$51),2))))))</f>
        <v/>
      </c>
      <c r="G224" s="460" t="str">
        <f>IFERROR(AVERAGE(F224:F225),"")</f>
        <v/>
      </c>
      <c r="H224" s="424" t="str">
        <f>IFERROR(ROUND(AVERAGE(G224:G226),2),"")</f>
        <v/>
      </c>
      <c r="I224" s="425" t="str">
        <f>IF(H224="","",IF(H224&gt;0.69,"Functioning",IF(H224&gt;0.29,"Functioning At Risk",IF(H224&gt;-1,"Not Functioning"))))</f>
        <v/>
      </c>
      <c r="J224" s="423"/>
      <c r="K224" s="423"/>
      <c r="L224" s="21"/>
    </row>
    <row r="225" spans="1:12" ht="15.75" x14ac:dyDescent="0.25">
      <c r="A225" s="428"/>
      <c r="B225" s="452"/>
      <c r="C225" s="229" t="s">
        <v>264</v>
      </c>
      <c r="D225" s="128"/>
      <c r="E225" s="305"/>
      <c r="F225" s="230" t="str">
        <f>IF(E225="","",ROUND(IF('Quantification Tool'!B$8="Mountains", IF(E225&lt;11,0,IF(E225&gt;35,1,E225^3*'Performance Standards'!AK$83+E225^2*'Performance Standards'!AK$84+E225*'Performance Standards'!AK$85+'Performance Standards'!AK$86)),IF('Quantification Tool'!B$8 = "Piedmont", IF(E225&lt;7,0,IF(E225&gt;27,1,E225^3*'Performance Standards'!AK$116+E225^2*'Performance Standards'!AK$117+E225*'Performance Standards'!AK$118+'Performance Standards'!AK$119)), IF('Quantification Tool'!B$8="Coastal Plain",IF(E225&lt;6,0,IF(E225&gt;23,1,E225^3*'Performance Standards'!AK$151+E225^2*'Performance Standards'!AK$152+E225*'Performance Standards'!AK$153+'Performance Standards'!AK$154))))),2))</f>
        <v/>
      </c>
      <c r="G225" s="461"/>
      <c r="H225" s="424"/>
      <c r="I225" s="425"/>
      <c r="J225" s="423"/>
      <c r="K225" s="423"/>
      <c r="L225" s="21"/>
    </row>
    <row r="226" spans="1:12" ht="15.75" x14ac:dyDescent="0.25">
      <c r="A226" s="429"/>
      <c r="B226" s="269" t="s">
        <v>146</v>
      </c>
      <c r="C226" s="128" t="s">
        <v>147</v>
      </c>
      <c r="D226" s="128"/>
      <c r="E226" s="305"/>
      <c r="F226" s="130" t="str">
        <f>IF(E226="","",IF(OR('Quantification Tool'!$B$15="French Broad",'Quantification Tool'!$B$15="Hiwassee",'Quantification Tool'!$B$15="Little Tennessee",'Quantification Tool'!$B$15="New",'Quantification Tool'!$B$15="Watauga"),IF(E226&lt;22,0,IF(E226&gt;=60,1,ROUND(E226*'Performance Standards'!$AK$185+'Performance Standards'!$AK$186,2))),IF(OR('Quantification Tool'!$B$15="Broad",'Quantification Tool'!$B$15="Catawba",'Quantification Tool'!$B$15="Savannah",'Quantification Tool'!$B$15="Yadkin-PeeDee"),IF(E226&lt;27,0,IF(E226&gt;=60,1,ROUND(E226^2*'Performance Standards'!$AK$219+E226*'Performance Standards'!$AK$220+'Performance Standards'!$AK$221,2))),IF(OR('Quantification Tool'!$B$15="Cape Fear",'Quantification Tool'!$B$15="Neuse",'Quantification Tool'!$B$15="Roanoke",'Quantification Tool'!$B$15="Tar-Pamlico"),IF(E226&lt;26,0,IF(E226&gt;=60,1,ROUND(E226^2*'Performance Standards'!$AK$253+E226*'Performance Standards'!$AK$254+'Performance Standards'!$AK$255,2)))))))</f>
        <v/>
      </c>
      <c r="G226" s="162" t="str">
        <f>IFERROR(AVERAGE(F226),"")</f>
        <v/>
      </c>
      <c r="H226" s="424"/>
      <c r="I226" s="425"/>
      <c r="J226" s="423"/>
      <c r="K226" s="423"/>
      <c r="L226" s="21"/>
    </row>
    <row r="227" spans="1:12" x14ac:dyDescent="0.25">
      <c r="L227" s="21"/>
    </row>
    <row r="228" spans="1:12" x14ac:dyDescent="0.25">
      <c r="L228" s="21"/>
    </row>
    <row r="229" spans="1:12" ht="21" x14ac:dyDescent="0.35">
      <c r="A229" s="323" t="s">
        <v>371</v>
      </c>
      <c r="B229" s="324"/>
      <c r="C229" s="325" t="s">
        <v>372</v>
      </c>
      <c r="D229" s="324"/>
      <c r="E229" s="326"/>
      <c r="F229" s="327"/>
      <c r="G229" s="433" t="s">
        <v>18</v>
      </c>
      <c r="H229" s="434"/>
      <c r="I229" s="434"/>
      <c r="J229" s="434"/>
      <c r="K229" s="435"/>
      <c r="L229" s="21"/>
    </row>
    <row r="230" spans="1:12" ht="15.75" x14ac:dyDescent="0.25">
      <c r="A230" s="271" t="s">
        <v>1</v>
      </c>
      <c r="B230" s="271" t="s">
        <v>2</v>
      </c>
      <c r="C230" s="462" t="s">
        <v>3</v>
      </c>
      <c r="D230" s="464"/>
      <c r="E230" s="271" t="s">
        <v>15</v>
      </c>
      <c r="F230" s="271" t="s">
        <v>16</v>
      </c>
      <c r="G230" s="271" t="s">
        <v>19</v>
      </c>
      <c r="H230" s="271" t="s">
        <v>20</v>
      </c>
      <c r="I230" s="271" t="s">
        <v>20</v>
      </c>
      <c r="J230" s="271" t="s">
        <v>21</v>
      </c>
      <c r="K230" s="95" t="s">
        <v>21</v>
      </c>
    </row>
    <row r="231" spans="1:12" ht="15.75" x14ac:dyDescent="0.25">
      <c r="A231" s="447" t="s">
        <v>78</v>
      </c>
      <c r="B231" s="270" t="s">
        <v>177</v>
      </c>
      <c r="C231" s="257" t="s">
        <v>329</v>
      </c>
      <c r="D231" s="97"/>
      <c r="E231" s="253"/>
      <c r="F231" s="260" t="str">
        <f>IF(E231="","",IF(E231&gt;78,0,IF(E231&lt;30,1,ROUND('Performance Standards'!C$14*E231^2+'Performance Standards'!C$15*E231+'Performance Standards'!C$16,2))))</f>
        <v/>
      </c>
      <c r="G231" s="157" t="str">
        <f>IFERROR(AVERAGE(F231),"")</f>
        <v/>
      </c>
      <c r="H231" s="492" t="str">
        <f>IFERROR(ROUND(AVERAGE(G231:G234),2),"")</f>
        <v/>
      </c>
      <c r="I231" s="425" t="str">
        <f>IF(H231="","",IF(H231&gt;0.69,"Functioning",IF(H231&gt;0.29,"Functioning At Risk",IF(H231&gt;-1,"Not Functioning"))))</f>
        <v/>
      </c>
      <c r="J231" s="423" t="str">
        <f>IF(AND(H231="",H235="",H237="",H256="",H262=""),"",ROUND((IF(H231="",0,H231)*0.2)+(IF(H235="",0,H235)*0.2)+(IF(H237="",0,H237)*0.2)+(IF(H256="",0,H256)*0.2)+(IF(H262="",0,H262)*0.2),2))</f>
        <v/>
      </c>
      <c r="K231" s="423" t="str">
        <f>IF(J231="","",IF(J231&lt;0.3, "Not Functioning",IF(OR(H231&lt;0.7,H235&lt;0.7,H237&lt;0.7,H256&lt;0.7,H262&lt;0.7),"Functioning At Risk",IF(J231&lt;0.7,"Functioning At Risk","Functioning"))))</f>
        <v/>
      </c>
    </row>
    <row r="232" spans="1:12" ht="15.75" x14ac:dyDescent="0.25">
      <c r="A232" s="448"/>
      <c r="B232" s="489" t="s">
        <v>328</v>
      </c>
      <c r="C232" s="257" t="s">
        <v>329</v>
      </c>
      <c r="D232" s="256"/>
      <c r="E232" s="253"/>
      <c r="F232" s="260" t="str">
        <f>IF(E232="","",IF(E232&gt;78,0,IF(E232&lt;30,1,ROUND('Performance Standards'!C$14*E232^2+'Performance Standards'!C$15*E232+'Performance Standards'!C$16,2))))</f>
        <v/>
      </c>
      <c r="G232" s="486" t="str">
        <f>IFERROR(AVERAGE(F232:F234),"")</f>
        <v/>
      </c>
      <c r="H232" s="493"/>
      <c r="I232" s="425"/>
      <c r="J232" s="423"/>
      <c r="K232" s="423"/>
    </row>
    <row r="233" spans="1:12" ht="15.75" x14ac:dyDescent="0.25">
      <c r="A233" s="448"/>
      <c r="B233" s="490"/>
      <c r="C233" s="258" t="s">
        <v>330</v>
      </c>
      <c r="D233" s="97"/>
      <c r="E233" s="304"/>
      <c r="F233" s="98" t="str">
        <f>IF(E233="","",IF(E233&gt;3,0,IF(E233=0,1,ROUND('Performance Standards'!C$48*E233+'Performance Standards'!C$49,2))))</f>
        <v/>
      </c>
      <c r="G233" s="487"/>
      <c r="H233" s="493"/>
      <c r="I233" s="425"/>
      <c r="J233" s="423"/>
      <c r="K233" s="423"/>
    </row>
    <row r="234" spans="1:12" ht="15.75" x14ac:dyDescent="0.25">
      <c r="A234" s="448"/>
      <c r="B234" s="491"/>
      <c r="C234" s="259" t="s">
        <v>331</v>
      </c>
      <c r="D234" s="101"/>
      <c r="E234" s="305"/>
      <c r="F234" s="255" t="str">
        <f>IF(E234="","",IF(E234&gt;=30,1,ROUND('Performance Standards'!$C$83*E234^2+'Performance Standards'!$C$84*E234+'Performance Standards'!$C$85,2)))</f>
        <v/>
      </c>
      <c r="G234" s="488"/>
      <c r="H234" s="493"/>
      <c r="I234" s="425"/>
      <c r="J234" s="423"/>
      <c r="K234" s="423"/>
    </row>
    <row r="235" spans="1:12" ht="15.75" x14ac:dyDescent="0.25">
      <c r="A235" s="445" t="s">
        <v>6</v>
      </c>
      <c r="B235" s="445" t="s">
        <v>7</v>
      </c>
      <c r="C235" s="102" t="s">
        <v>8</v>
      </c>
      <c r="D235" s="102"/>
      <c r="E235" s="304"/>
      <c r="F235" s="103" t="str">
        <f>IF(E235="","",ROUND(IF(E235&gt;1.6,0,IF(E235&lt;=1,1,E235^2*'Performance Standards'!K$14+E235*'Performance Standards'!K$15+'Performance Standards'!K$16)),2))</f>
        <v/>
      </c>
      <c r="G235" s="449" t="str">
        <f>IFERROR(AVERAGE(F235:F236),"")</f>
        <v/>
      </c>
      <c r="H235" s="449" t="str">
        <f>IFERROR(ROUND(AVERAGE(G235),2),"")</f>
        <v/>
      </c>
      <c r="I235" s="436" t="str">
        <f>IF(H235="","",IF(H235&gt;0.69,"Functioning",IF(H235&gt;0.29,"Functioning At Risk",IF(H235&gt;-1,"Not Functioning"))))</f>
        <v/>
      </c>
      <c r="J235" s="423"/>
      <c r="K235" s="423"/>
    </row>
    <row r="236" spans="1:12" ht="15.75" x14ac:dyDescent="0.25">
      <c r="A236" s="446"/>
      <c r="B236" s="446"/>
      <c r="C236" s="104" t="s">
        <v>9</v>
      </c>
      <c r="D236" s="104"/>
      <c r="E236" s="305"/>
      <c r="F236" s="105" t="str">
        <f>IF(E236="","",IF(OR('Quantification Tool'!B$7="A",'Quantification Tool'!B$7="B", 'Quantification Tool'!B$7="Bc"),IF(E236&lt;1.2,0,IF(E236&gt;=2.2,1,ROUND(IF(E236&lt;1.4,E236*'Performance Standards'!$K$84+'Performance Standards'!$K$85,E236*'Performance Standards'!$L$84+'Performance Standards'!$L$85),2))),IF(OR('Quantification Tool'!B$7="C",'Quantification Tool'!B$7="E"),IF(E236&lt;2,0,IF(E236&gt;=5,1,ROUND(IF(E236&lt;2.4,E236*'Performance Standards'!$L$49+'Performance Standards'!$L$50,E236*'Performance Standards'!$K$49+'Performance Standards'!$K$50),2))))))</f>
        <v/>
      </c>
      <c r="G236" s="450"/>
      <c r="H236" s="450"/>
      <c r="I236" s="437"/>
      <c r="J236" s="423"/>
      <c r="K236" s="423"/>
    </row>
    <row r="237" spans="1:12" ht="15.75" x14ac:dyDescent="0.25">
      <c r="A237" s="439" t="s">
        <v>30</v>
      </c>
      <c r="B237" s="439" t="s">
        <v>31</v>
      </c>
      <c r="C237" s="111" t="s">
        <v>27</v>
      </c>
      <c r="D237" s="318"/>
      <c r="E237" s="253"/>
      <c r="F237" s="132" t="str">
        <f>IF(E237="","",IF(E237&gt;700,1,IF(E237&lt;300,ROUND('Performance Standards'!$S$14*(E237^2)+'Performance Standards'!$S$15*E237+'Performance Standards'!$S$16,2),ROUND('Performance Standards'!$T$15*E237+'Performance Standards'!$T$16,2))))</f>
        <v/>
      </c>
      <c r="G237" s="441" t="str">
        <f>IFERROR(AVERAGE(F237:F238),"")</f>
        <v/>
      </c>
      <c r="H237" s="438" t="str">
        <f>IFERROR(ROUND(AVERAGE(G237:G255),2),"")</f>
        <v/>
      </c>
      <c r="I237" s="423" t="str">
        <f>IF(H237="","",IF(H237&gt;0.69,"Functioning",IF(H237&gt;0.29,"Functioning At Risk",IF(H237&gt;-1,"Not Functioning"))))</f>
        <v/>
      </c>
      <c r="J237" s="423"/>
      <c r="K237" s="423"/>
    </row>
    <row r="238" spans="1:12" ht="15.75" x14ac:dyDescent="0.25">
      <c r="A238" s="443"/>
      <c r="B238" s="440"/>
      <c r="C238" s="113" t="s">
        <v>369</v>
      </c>
      <c r="D238" s="317"/>
      <c r="E238" s="305"/>
      <c r="F238" s="319" t="str">
        <f>IF(E238="","",IF(E238&gt;30,1,IF(E238&lt;16,ROUND('Performance Standards'!$S$48*(E238^2)+'Performance Standards'!$S$49*E238+'Performance Standards'!$S$50,2),ROUND('Performance Standards'!$T$49*E238+'Performance Standards'!$T$50,2))))</f>
        <v/>
      </c>
      <c r="G238" s="442"/>
      <c r="H238" s="438"/>
      <c r="I238" s="423"/>
      <c r="J238" s="423"/>
      <c r="K238" s="423"/>
    </row>
    <row r="239" spans="1:12" ht="15.75" x14ac:dyDescent="0.25">
      <c r="A239" s="443"/>
      <c r="B239" s="443" t="s">
        <v>54</v>
      </c>
      <c r="C239" s="111" t="s">
        <v>156</v>
      </c>
      <c r="D239" s="114"/>
      <c r="E239" s="253"/>
      <c r="F239" s="109" t="str">
        <f>IF(E239="","",ROUND(IF(E239&gt;0.7,0,IF(E239&lt;=0.1,1,E239^3*'Performance Standards'!S$83+E239^2*'Performance Standards'!S$84+E239*'Performance Standards'!S$85+'Performance Standards'!S$86)),2))</f>
        <v/>
      </c>
      <c r="G239" s="444" t="str">
        <f>IFERROR(IF(E239="",AVERAGE(F240:F241),IF(E240="",F239,MIN(F239,AVERAGE(F240:F241)))),"")</f>
        <v/>
      </c>
      <c r="H239" s="438"/>
      <c r="I239" s="423"/>
      <c r="J239" s="423"/>
      <c r="K239" s="423"/>
    </row>
    <row r="240" spans="1:12" ht="15.75" x14ac:dyDescent="0.25">
      <c r="A240" s="443"/>
      <c r="B240" s="443"/>
      <c r="C240" s="112" t="s">
        <v>55</v>
      </c>
      <c r="D240" s="108"/>
      <c r="E240" s="304"/>
      <c r="F240" s="109" t="str">
        <f>IF(E240="","",IF(OR(E240="Ex/Ex",E240="Ex/VH"),0, IF(OR(E240="Ex/H",E240="VH/Ex",E240="VH/VH", E240="H/Ex",E240="H/VH",E240="M/Ex"),0.1,IF(OR(E240="Ex/M",E240="VH/H",E240="H/H", E240="M/VH"),0.2, IF(OR(E240="Ex/L",E240="VH/M",E240="H/M", E240="M/H",E240="L/Ex"),0.3, IF(OR(E240="Ex/VL",E240="VH/L",E240="H/L"),0.4, IF(OR(E240="VH/VL",E240="H/VL",E240="M/M", E240="L/VH"),0.5, IF(OR(E240="M/L",E240="L/H"),0.6, IF(OR(E240="M/VL",E240="L/M"),0.7, IF(OR(E240="L/L",E240="L/VL"),1))))))))))</f>
        <v/>
      </c>
      <c r="G240" s="444"/>
      <c r="H240" s="438"/>
      <c r="I240" s="423"/>
      <c r="J240" s="423"/>
      <c r="K240" s="423"/>
    </row>
    <row r="241" spans="1:13" ht="15.75" x14ac:dyDescent="0.25">
      <c r="A241" s="443"/>
      <c r="B241" s="443"/>
      <c r="C241" s="113" t="s">
        <v>192</v>
      </c>
      <c r="D241" s="116"/>
      <c r="E241" s="305"/>
      <c r="F241" s="118" t="str">
        <f>IF(E241="","",ROUND(IF(E241&gt;40,0,IF(E241&lt;5,1,E241^3*'Performance Standards'!S$118+E241^2*'Performance Standards'!S$119+E241*'Performance Standards'!S$120+'Performance Standards'!S$121)),2))</f>
        <v/>
      </c>
      <c r="G241" s="444"/>
      <c r="H241" s="438"/>
      <c r="I241" s="423"/>
      <c r="J241" s="423"/>
      <c r="K241" s="423"/>
    </row>
    <row r="242" spans="1:13" ht="15.75" x14ac:dyDescent="0.25">
      <c r="A242" s="443"/>
      <c r="B242" s="439" t="s">
        <v>56</v>
      </c>
      <c r="C242" s="114" t="s">
        <v>242</v>
      </c>
      <c r="D242" s="114"/>
      <c r="E242" s="253"/>
      <c r="F242" s="132" t="str">
        <f>IF(E242="","",ROUND(IF(E242&gt;90,1,E242^2*'Performance Standards'!S$153+E242*'Performance Standards'!S$154+'Performance Standards'!S$155),2))</f>
        <v/>
      </c>
      <c r="G242" s="441" t="str">
        <f>IFERROR(AVERAGE(F242:F249),"")</f>
        <v/>
      </c>
      <c r="H242" s="438"/>
      <c r="I242" s="423"/>
      <c r="J242" s="423"/>
      <c r="K242" s="423"/>
    </row>
    <row r="243" spans="1:13" ht="15.75" x14ac:dyDescent="0.25">
      <c r="A243" s="443"/>
      <c r="B243" s="443"/>
      <c r="C243" s="108" t="s">
        <v>243</v>
      </c>
      <c r="D243" s="108"/>
      <c r="E243" s="304"/>
      <c r="F243" s="109" t="str">
        <f>IF(E243="","",ROUND(IF(E243&gt;90,1,E243^2*'Performance Standards'!S$153+E243*'Performance Standards'!S$154+'Performance Standards'!S$155),2))</f>
        <v/>
      </c>
      <c r="G243" s="444"/>
      <c r="H243" s="438"/>
      <c r="I243" s="423"/>
      <c r="J243" s="423"/>
      <c r="K243" s="423"/>
    </row>
    <row r="244" spans="1:13" ht="15.75" x14ac:dyDescent="0.25">
      <c r="A244" s="443"/>
      <c r="B244" s="443"/>
      <c r="C244" s="108" t="s">
        <v>170</v>
      </c>
      <c r="D244" s="108"/>
      <c r="E244" s="304"/>
      <c r="F244" s="109" t="str">
        <f>IF(E244="","",ROUND(IF(OR('Quantification Tool'!B$7="A",'Quantification Tool'!B$7="B",'Quantification Tool'!B$7="Bc"),IF(E244&gt;=50,1, IF(E244&lt;30, E244*'Performance Standards'!S$188+'Performance Standards'!S$189, E244*'Performance Standards'!T$188+'Performance Standards'!T$189)), IF(E244&gt;=150,1,IF(E244&lt;48, E244^2*'Performance Standards'!S$222+E244*'Performance Standards'!S$223+'Performance Standards'!S$224, E244*'Performance Standards'!T$223+'Performance Standards'!T$224))),2))</f>
        <v/>
      </c>
      <c r="G244" s="444"/>
      <c r="H244" s="438"/>
      <c r="I244" s="423"/>
      <c r="J244" s="423"/>
      <c r="K244" s="423"/>
    </row>
    <row r="245" spans="1:13" ht="15.75" x14ac:dyDescent="0.25">
      <c r="A245" s="443"/>
      <c r="B245" s="443"/>
      <c r="C245" s="108" t="s">
        <v>171</v>
      </c>
      <c r="D245" s="108"/>
      <c r="E245" s="304"/>
      <c r="F245" s="109" t="str">
        <f>IF(E245="","",ROUND(IF(OR('Quantification Tool'!B$7="A",'Quantification Tool'!B$7="B",'Quantification Tool'!B$7="Bc"),IF(E245&gt;=50,1, IF(E245&lt;30, E245*'Performance Standards'!S$188+'Performance Standards'!S$189, E245*'Performance Standards'!T$188+'Performance Standards'!T$189)), IF(E245&gt;=150,1,IF(E245&lt;48, E245^2*'Performance Standards'!S$222+E245*'Performance Standards'!S$223+'Performance Standards'!S$224, E245*'Performance Standards'!T$223+'Performance Standards'!T$224))),2))</f>
        <v/>
      </c>
      <c r="G245" s="444"/>
      <c r="H245" s="438"/>
      <c r="I245" s="423"/>
      <c r="J245" s="423"/>
      <c r="K245" s="423"/>
    </row>
    <row r="246" spans="1:13" ht="15.75" x14ac:dyDescent="0.25">
      <c r="A246" s="443"/>
      <c r="B246" s="443"/>
      <c r="C246" s="108" t="s">
        <v>251</v>
      </c>
      <c r="D246" s="108"/>
      <c r="E246" s="304"/>
      <c r="F246" s="109" t="str">
        <f>IF(E246="","",ROUND(IF(E246&gt;100,1,E246^2*'Performance Standards'!S$255+E246*'Performance Standards'!S$256+'Performance Standards'!S$257),2))</f>
        <v/>
      </c>
      <c r="G246" s="444"/>
      <c r="H246" s="438"/>
      <c r="I246" s="423"/>
      <c r="J246" s="423"/>
      <c r="K246" s="423"/>
    </row>
    <row r="247" spans="1:13" ht="15.75" x14ac:dyDescent="0.25">
      <c r="A247" s="443"/>
      <c r="B247" s="443"/>
      <c r="C247" s="108" t="s">
        <v>252</v>
      </c>
      <c r="D247" s="108"/>
      <c r="E247" s="304"/>
      <c r="F247" s="109" t="str">
        <f>IF(E247="","",ROUND(IF(E247&gt;100,1,E247^2*'Performance Standards'!S$255+E247*'Performance Standards'!S$256+'Performance Standards'!S$257),2))</f>
        <v/>
      </c>
      <c r="G247" s="444"/>
      <c r="H247" s="438"/>
      <c r="I247" s="423"/>
      <c r="J247" s="423"/>
      <c r="K247" s="423"/>
    </row>
    <row r="248" spans="1:13" ht="15.75" x14ac:dyDescent="0.25">
      <c r="A248" s="443"/>
      <c r="B248" s="443"/>
      <c r="C248" s="112" t="s">
        <v>342</v>
      </c>
      <c r="D248" s="108"/>
      <c r="E248" s="304"/>
      <c r="F248" s="109" t="str">
        <f>IF(E248="","",ROUND(IF(E248&gt;=260,0.5,E248*'Performance Standards'!S$288+'Performance Standards'!S$289),2))</f>
        <v/>
      </c>
      <c r="G248" s="444"/>
      <c r="H248" s="438"/>
      <c r="I248" s="423"/>
      <c r="J248" s="423"/>
      <c r="K248" s="423"/>
      <c r="M248" s="21"/>
    </row>
    <row r="249" spans="1:13" ht="15.75" x14ac:dyDescent="0.25">
      <c r="A249" s="443"/>
      <c r="B249" s="440"/>
      <c r="C249" s="113" t="s">
        <v>343</v>
      </c>
      <c r="D249" s="108"/>
      <c r="E249" s="304"/>
      <c r="F249" s="219" t="str">
        <f>IF(E249="","",ROUND(IF(E249&gt;=260,0.5,E249*'Performance Standards'!S$288+'Performance Standards'!S$289),2))</f>
        <v/>
      </c>
      <c r="G249" s="442"/>
      <c r="H249" s="438"/>
      <c r="I249" s="423"/>
      <c r="J249" s="423"/>
      <c r="K249" s="423"/>
    </row>
    <row r="250" spans="1:13" ht="15.75" x14ac:dyDescent="0.25">
      <c r="A250" s="443"/>
      <c r="B250" s="106" t="s">
        <v>254</v>
      </c>
      <c r="C250" s="131" t="s">
        <v>345</v>
      </c>
      <c r="D250" s="107"/>
      <c r="E250" s="87"/>
      <c r="F250" s="109" t="str">
        <f>IF(E250="","",IF('Quantification Tool'!B$10="Gravel",IF(E250&gt;0.1,1,IF(E250&lt;=0.01,0,ROUND(E250*'Performance Standards'!$S$323+'Performance Standards'!$S$324,2)))))</f>
        <v/>
      </c>
      <c r="G250" s="155" t="str">
        <f>IFERROR(AVERAGE(F250),"")</f>
        <v/>
      </c>
      <c r="H250" s="438"/>
      <c r="I250" s="423"/>
      <c r="J250" s="423"/>
      <c r="K250" s="423"/>
    </row>
    <row r="251" spans="1:13" ht="15.75" x14ac:dyDescent="0.25">
      <c r="A251" s="443"/>
      <c r="B251" s="439" t="s">
        <v>57</v>
      </c>
      <c r="C251" s="111" t="s">
        <v>58</v>
      </c>
      <c r="D251" s="114"/>
      <c r="E251" s="253"/>
      <c r="F251" s="310" t="str">
        <f>IF(E251="","",IF('Quantification Tool'!B$13&gt;=4,IF(AND(E251&lt;=5,E251&gt;=0.1),1,IF(OR(E251&lt;0.1,E251&gt;8),0,ROUND(E251*'Performance Standards'!$S$357+'Performance Standards'!$S$358,2))), IF(AND('Quantification Tool'!B$9&gt;=10,OR('Quantification Tool'!B$7="C",'Quantification Tool'!B$7="E")),IF(OR(E251&lt;3,E251&gt;8),0,IF(AND(E251&gt;=4,E251&lt;=7),1,ROUND(E251^2*'Performance Standards'!$S$389+E251*'Performance Standards'!$S$390+'Performance Standards'!$S$391,2))),  IF(AND('Quantification Tool'!B$9&lt;10,OR('Quantification Tool'!B$7="C",'Quantification Tool'!B$7="E")),IF(OR(E251&lt;3,E251&gt;7),0,IF(E251&lt;4,ROUND(E251*'Performance Standards'!$S$423+'Performance Standards'!$S$424,2), IF(E251&gt;5, ROUND(E251*'Performance Standards'!$T$423+'Performance Standards'!T$424,2),1))),IF(OR(AND('Quantification Tool'!B$13&lt;2,'Quantification Tool'!B$7="Bc"),AND('Quantification Tool'!B$13&gt;=2,'Quantification Tool'!B$13&lt;=4,'Quantification Tool'!B$7="B")),ROUND(IF(E251&gt;8,0,IF(E251&lt;=0.6,1,E251^2*'Performance Standards'!$S$455+E251*'Performance Standards'!$S$456+'Performance Standards'!$S$457)),2))))))</f>
        <v/>
      </c>
      <c r="G251" s="441" t="str">
        <f>IFERROR(AVERAGE(F251:F254),"")</f>
        <v/>
      </c>
      <c r="H251" s="438"/>
      <c r="I251" s="423"/>
      <c r="J251" s="423"/>
      <c r="K251" s="423"/>
    </row>
    <row r="252" spans="1:13" ht="15.75" x14ac:dyDescent="0.25">
      <c r="A252" s="443"/>
      <c r="B252" s="443"/>
      <c r="C252" s="112" t="s">
        <v>59</v>
      </c>
      <c r="D252" s="108"/>
      <c r="E252" s="304"/>
      <c r="F252" s="311" t="str">
        <f>IF(E252="","",IF(E252&lt;=1.1,0,IF(OR('Quantification Tool'!B$7="A", 'Quantification Tool'!B$7="B", 'Quantification Tool'!B$7="Bc"),IF(E252&gt;1.74,1,ROUND(IF(E252&lt;1.2,E252*'Performance Standards'!S$556+'Performance Standards'!S$557,E252*'Performance Standards'!T$556+'Performance Standards'!T$557),2)),IF(OR('Quantification Tool'!B$7="C", 'Quantification Tool'!B$7="E"),IF('Quantification Tool'!B$10="Gravel",IF(E252&gt;1.74,1,ROUND(IF(E252&lt;1.2,E252*'Performance Standards'!S$489+'Performance Standards'!S$490,E252*'Performance Standards'!T$489+'Performance Standards'!T$490),2)),IF('Quantification Tool'!B$10="Sand",IF(E252&gt;=1.25,1,ROUND(E252^2*'Performance Standards'!S$521+E252*'Performance Standards'!S$522+'Performance Standards'!S$523,2))))))))</f>
        <v/>
      </c>
      <c r="G252" s="444"/>
      <c r="H252" s="438"/>
      <c r="I252" s="423"/>
      <c r="J252" s="423"/>
      <c r="K252" s="423"/>
    </row>
    <row r="253" spans="1:13" ht="15.75" x14ac:dyDescent="0.25">
      <c r="A253" s="443"/>
      <c r="B253" s="443"/>
      <c r="C253" s="112" t="s">
        <v>62</v>
      </c>
      <c r="D253" s="108"/>
      <c r="E253" s="304"/>
      <c r="F253" s="312" t="str">
        <f>IF(E253="","",IF('Quantification Tool'!B$13="","Need Slope",IF('Quantification Tool'!B$13&lt;3,ROUND(IF(OR(E253&gt;83,E253&lt;32),0, IF(E253&lt;60,E253*'Performance Standards'!S$591+'Performance Standards'!S$592,IF(E253&gt;70,E253^2*'Performance Standards'!T$590+E253*'Performance Standards'!T$591+'Performance Standards'!T$592,1))),2),IF('Quantification Tool'!B$13&gt;10,ROUND(IF(E253&gt;=80,1,IF(E253&lt;67,0,E253^2*'Performance Standards'!S$657+E253*'Performance Standards'!S$658+'Performance Standards'!S$659)),2),IF(OR(E253&gt;76, E253&lt;34),0,IF(AND(E253&gt;49,E253&lt;61),1,ROUND(IF(E253&lt;50,E253*'Performance Standards'!S$625+'Performance Standards'!S$626,E253*'Performance Standards'!T$625+'Performance Standards'!T$626),2)))))))</f>
        <v/>
      </c>
      <c r="G253" s="444"/>
      <c r="H253" s="438"/>
      <c r="I253" s="423"/>
      <c r="J253" s="423"/>
      <c r="K253" s="423"/>
    </row>
    <row r="254" spans="1:13" ht="15.75" x14ac:dyDescent="0.25">
      <c r="A254" s="443"/>
      <c r="B254" s="440"/>
      <c r="C254" s="116" t="s">
        <v>363</v>
      </c>
      <c r="D254" s="116"/>
      <c r="E254" s="305"/>
      <c r="F254" s="117" t="str">
        <f>IF(E254="","",IF(E254&gt;=1.6,0,IF(E254&lt;=1,1,ROUND('Performance Standards'!$S$689*E254^3+'Performance Standards'!$S$690*E254^2+'Performance Standards'!$S$691*E254+'Performance Standards'!$S$692,2))))</f>
        <v/>
      </c>
      <c r="G254" s="442"/>
      <c r="H254" s="438"/>
      <c r="I254" s="423"/>
      <c r="J254" s="423"/>
      <c r="K254" s="423"/>
    </row>
    <row r="255" spans="1:13" ht="15.75" x14ac:dyDescent="0.25">
      <c r="A255" s="440"/>
      <c r="B255" s="320" t="s">
        <v>64</v>
      </c>
      <c r="C255" s="116" t="s">
        <v>63</v>
      </c>
      <c r="D255" s="116"/>
      <c r="E255" s="305"/>
      <c r="F255" s="118" t="str">
        <f>IF(E255="","",IF(AND('Quantification Tool'!B$7="E",'Quantification Tool'!$B$10="Sand",'Quantification Tool'!$B$18="Unconfined Alluvial"),ROUND(IF(OR(E255&gt;1.8,E255&lt;1.3),0,IF(E255&lt;=1.6,1,E255*'Performance Standards'!$S$723+'Performance Standards'!$S$724)),2),    IF('Quantification Tool'!$B$18="Unconfined Alluvial",ROUND(IF(OR(E255&lt;1.2, E255&gt;1.5),0,IF(E255&lt;=1.4,1,E255*'Performance Standards'!$S$756+'Performance Standards'!$S$757)),2), IF('Quantification Tool'!$B$18="Confined Alluvial",ROUND(IF(E255&lt;1.15,0,IF(E255&lt;=1.4,E255*'Performance Standards'!$S$785+'Performance Standards'!$S$786,1)),2),  IF('Quantification Tool'!$B$18="Colluvial",ROUND(IF(E255&gt;1.3,0,IF(E255&gt;1.2,E255*'Performance Standards'!$S$815+'Performance Standards'!$S$816,1)),2) )))))</f>
        <v/>
      </c>
      <c r="G255" s="158" t="str">
        <f>IFERROR(AVERAGE(F255),"")</f>
        <v/>
      </c>
      <c r="H255" s="438"/>
      <c r="I255" s="423"/>
      <c r="J255" s="423"/>
      <c r="K255" s="423"/>
      <c r="L255" s="13"/>
    </row>
    <row r="256" spans="1:13" ht="15.75" x14ac:dyDescent="0.25">
      <c r="A256" s="431" t="s">
        <v>68</v>
      </c>
      <c r="B256" s="122" t="s">
        <v>161</v>
      </c>
      <c r="C256" s="133" t="s">
        <v>438</v>
      </c>
      <c r="D256" s="123"/>
      <c r="E256" s="87"/>
      <c r="F256" s="124" t="str">
        <f>IF(E256="","",IF('Quantification Tool'!$B$16="Coldwater",IF(E256&gt;77,0,IF(E256&lt;59,1,ROUND(E256*'Performance Standards'!$AB$15+'Performance Standards'!$AB$16,2))),IF('Quantification Tool'!$B$16="Coolwater",IF(E256&gt;97,0,IF(E256&lt;67,1,ROUND(E256*'Performance Standards'!$AC$15+'Performance Standards'!$AC$16,2))))))</f>
        <v/>
      </c>
      <c r="G256" s="159" t="str">
        <f>IFERROR(AVERAGE(F256),"")</f>
        <v/>
      </c>
      <c r="H256" s="426" t="str">
        <f>IFERROR(ROUND(AVERAGE(G256:G261),2),"")</f>
        <v/>
      </c>
      <c r="I256" s="425" t="str">
        <f>IF(H256="","",IF(H256&gt;0.69,"Functioning",IF(H256&gt;0.29,"Functioning At Risk",IF(H256&gt;-1,"Not Functioning"))))</f>
        <v/>
      </c>
      <c r="J256" s="423"/>
      <c r="K256" s="423"/>
      <c r="L256" s="13"/>
    </row>
    <row r="257" spans="1:12" ht="15.75" x14ac:dyDescent="0.25">
      <c r="A257" s="430"/>
      <c r="B257" s="268" t="s">
        <v>194</v>
      </c>
      <c r="C257" s="127" t="s">
        <v>197</v>
      </c>
      <c r="D257" s="120"/>
      <c r="E257" s="304"/>
      <c r="F257" s="121" t="str">
        <f>IF(E257="","",ROUND(IF(E257&gt;=284,0,E257*'Performance Standards'!AB$116+'Performance Standards'!AB$117),2))</f>
        <v/>
      </c>
      <c r="G257" s="159" t="str">
        <f>IFERROR(AVERAGE(F257),"")</f>
        <v/>
      </c>
      <c r="H257" s="426"/>
      <c r="I257" s="425"/>
      <c r="J257" s="423"/>
      <c r="K257" s="423"/>
      <c r="L257" s="21"/>
    </row>
    <row r="258" spans="1:12" ht="15.75" x14ac:dyDescent="0.25">
      <c r="A258" s="430"/>
      <c r="B258" s="430" t="s">
        <v>195</v>
      </c>
      <c r="C258" s="263" t="s">
        <v>92</v>
      </c>
      <c r="D258" s="215"/>
      <c r="E258" s="253"/>
      <c r="F258" s="134" t="str">
        <f>IF(E258="","",IF(OR(E258&lt;0.5,E258&gt;2), 0, ROUND(IF(E258&lt;0.75, E258*'Performance Standards'!$AB$153+'Performance Standards'!$AB$154, IF(E258&lt;=1.33, E258*'Performance Standards'!$AC$153+'Performance Standards'!$AC$154,E258*'Performance Standards'!$AD$153+'Performance Standards'!$AD$154)),2)))</f>
        <v/>
      </c>
      <c r="G258" s="456" t="str">
        <f>IFERROR(AVERAGE(F258:F259),"")</f>
        <v/>
      </c>
      <c r="H258" s="426"/>
      <c r="I258" s="425"/>
      <c r="J258" s="423"/>
      <c r="K258" s="423"/>
      <c r="L258" s="21"/>
    </row>
    <row r="259" spans="1:12" ht="15.75" x14ac:dyDescent="0.25">
      <c r="A259" s="430"/>
      <c r="B259" s="430"/>
      <c r="C259" s="135" t="s">
        <v>193</v>
      </c>
      <c r="D259" s="127"/>
      <c r="E259" s="305"/>
      <c r="F259" s="121" t="str">
        <f>IF(E259="","",IF('Quantification Tool'!$B$8 = "Mountains", IF('Quantification Tool'!$B$9 &lt;=5, IF( 'Quantification Tool'!$B$17= "Winter/Spring", ROUND(IF(E259&gt;=23,1,E259*'Performance Standards'!$AB$188+'Performance Standards'!$AB$189),2), IF('Quantification Tool'!$B$17= "Summer", ROUND(IF(E259&gt;=21,1,E259*'Performance Standards'!$AC$188),2), IF('Quantification Tool'!$B$17= "Fall", ROUND(IF(E259&gt;=18,1,E259*'Performance Standards'!$AD$188),2)))), IF('Quantification Tool'!$B$9&lt;10, IF('Quantification Tool'!$B$17= "Winter/Spring", ROUND(IF(E259&gt;16,1,E259*'Performance Standards'!$AB$222),2),IF('Quantification Tool'!$B$17= "Summer",ROUND(IF(E259&gt;14,1,E259*'Performance Standards'!$AC$222),2), IF('Quantification Tool'!$B$17= "Fall",ROUND(IF(E259&gt;12,1,E259*'Performance Standards'!$AD$222),2)))), IF('Quantification Tool'!$B$17= "Winter/Spring", ROUND(IF(E259&gt;14,1,E259*'Performance Standards'!$AB$256),2),IF('Quantification Tool'!$B$17= "Summer",ROUND(IF(E259&gt;16,1,E259*'Performance Standards'!$AC$256),2), IF('Quantification Tool'!$B$17= "Fall",ROUND(IF(E259&gt;15,1,E259*'Performance Standards'!$AD$256),2)))))), IF('Quantification Tool'!$B$8 = "Piedmont",  IF('Quantification Tool'!$B$9 &lt;=5, IF( 'Quantification Tool'!$B$17= "Winter/Spring", ROUND(IF(E259&gt;=18,1,E259*'Performance Standards'!$AB$290),2), IF('Quantification Tool'!$B$17= "Summer", ROUND(IF(E259&gt;=12,1,E259*'Performance Standards'!$AC$290),2), IF('Quantification Tool'!$B$17= "Fall", ROUND(IF(E259&gt;=14,1,E259*'Performance Standards'!$AD$290),2)))), IF('Quantification Tool'!$B$9&lt;10, IF('Quantification Tool'!$B$17= "Winter/Spring", ROUND(IF(E259&gt;12,1,E259*'Performance Standards'!$AB$326),2),IF('Quantification Tool'!$B$17= "Summer",ROUND(IF(E259&gt;5,1,E259*'Performance Standards'!$AC$326),2), IF('Quantification Tool'!$B$17= "Fall",ROUND(IF(E259&gt;8,1,E259*'Performance Standards'!$AD$326),2)))), IF('Quantification Tool'!$B$17= "Winter/Spring", ROUND(IF(E259&gt;8,1,E259*'Performance Standards'!$AB$360),2),IF('Quantification Tool'!$B$17= "Summer",ROUND(IF(E259&gt;7,1,E259*'Performance Standards'!$AC$360),2), IF('Quantification Tool'!$B$17= "Fall",ROUND(IF(E259&gt;8,1,E259*'Performance Standards'!$AD$360),2)))))),IF('Quantification Tool'!$B$8 = "Coastal Plain", IF('Quantification Tool'!$B$9 &lt;=5, IF( 'Quantification Tool'!$B$17= "Winter/Spring", ROUND(IF(E259&gt;=33,1,E259*'Performance Standards'!$AB$392),2), IF('Quantification Tool'!$B$17= "Summer", ROUND(IF(E259&gt;=14,1,E259*'Performance Standards'!$AC$392),2), IF('Quantification Tool'!$B$17= "Fall", ROUND(IF(E259&gt;=25,1,E259*'Performance Standards'!$AD$392),2)))), IF('Quantification Tool'!$B$9&lt;10, IF('Quantification Tool'!$B$17= "Winter/Spring", ROUND(IF(E259&gt;20,1,E259*'Performance Standards'!$AB$424),2),IF('Quantification Tool'!$B$17= "Summer",ROUND(IF(E259&gt;13,1,E259*'Performance Standards'!$AC$424),2), IF('Quantification Tool'!$B$17= "Fall",ROUND(IF(E259&gt;12,1,E259*'Performance Standards'!$AD$424),2)))), IF('Quantification Tool'!$B$17= "Winter/Spring", ROUND(IF(E259&gt;17,1,E259*'Performance Standards'!$AB$458),2),IF('Quantification Tool'!$B$17= "Summer",ROUND(IF(E259&gt;16,1,E259*'Performance Standards'!$AC$458),2), IF('Quantification Tool'!$B$17= "Fall",ROUND(IF(E259&gt;8,1,E259*'Performance Standards'!$AD$458),2))))))))))</f>
        <v/>
      </c>
      <c r="G259" s="457"/>
      <c r="H259" s="426"/>
      <c r="I259" s="425"/>
      <c r="J259" s="423"/>
      <c r="K259" s="423"/>
      <c r="L259" s="21"/>
    </row>
    <row r="260" spans="1:12" ht="15.75" x14ac:dyDescent="0.25">
      <c r="A260" s="430"/>
      <c r="B260" s="122" t="s">
        <v>162</v>
      </c>
      <c r="C260" s="377" t="s">
        <v>446</v>
      </c>
      <c r="D260" s="123"/>
      <c r="E260" s="304"/>
      <c r="F260" s="125" t="str">
        <f>IF(E260="","",IF(E260&gt;4,0,ROUND(E260^2*'Performance Standards'!$AB$488+E260*'Performance Standards'!$AB$489+'Performance Standards'!$AB$490,2)))</f>
        <v/>
      </c>
      <c r="G260" s="161" t="str">
        <f>IFERROR(AVERAGE(F260),"")</f>
        <v/>
      </c>
      <c r="H260" s="426"/>
      <c r="I260" s="425"/>
      <c r="J260" s="423"/>
      <c r="K260" s="423"/>
      <c r="L260" s="21"/>
    </row>
    <row r="261" spans="1:12" ht="15.75" x14ac:dyDescent="0.25">
      <c r="A261" s="432"/>
      <c r="B261" s="268" t="s">
        <v>163</v>
      </c>
      <c r="C261" s="377" t="s">
        <v>447</v>
      </c>
      <c r="D261" s="120"/>
      <c r="E261" s="253"/>
      <c r="F261" s="121" t="str">
        <f>IF(E261="","",IF(E261&gt;0.23,0,ROUND(E261^2*'Performance Standards'!$AB$521+E261*'Performance Standards'!$AB$522+'Performance Standards'!$AB$523,2)))</f>
        <v/>
      </c>
      <c r="G261" s="159" t="str">
        <f>IFERROR(AVERAGE(F261),"")</f>
        <v/>
      </c>
      <c r="H261" s="426"/>
      <c r="I261" s="425"/>
      <c r="J261" s="423"/>
      <c r="K261" s="423"/>
      <c r="L261" s="21"/>
    </row>
    <row r="262" spans="1:12" ht="15.75" x14ac:dyDescent="0.25">
      <c r="A262" s="427" t="s">
        <v>70</v>
      </c>
      <c r="B262" s="451" t="s">
        <v>93</v>
      </c>
      <c r="C262" s="226" t="s">
        <v>253</v>
      </c>
      <c r="D262" s="227"/>
      <c r="E262" s="253"/>
      <c r="F262" s="228" t="str">
        <f>IF(E262="","",IF('Quantification Tool'!B$8="Mountains",IF(E262&gt;6.52,0,IF(E262&lt;3.3,1,ROUND(IF(E262&gt;5.62,E262*'Performance Standards'!AL$15+'Performance Standards'!AL$16, E262^2*'Performance Standards'!AK$15+E262*'Performance Standards'!AK$16+'Performance Standards'!AK$17),2))),IF('Quantification Tool'!B$8="Piedmont",IF(E262&gt;6.91,0, IF(E262&lt;4.31,1, ROUND(IF(E262&gt;5.85, E262*'Performance Standards'!$AL$49+'Performance Standards'!$AL$50, E262^2*'Performance Standards'!AK$49+E262*'Performance Standards'!AK$50+'Performance Standards'!AK$51),2))))))</f>
        <v/>
      </c>
      <c r="G262" s="460" t="str">
        <f>IFERROR(AVERAGE(F262:F263),"")</f>
        <v/>
      </c>
      <c r="H262" s="424" t="str">
        <f>IFERROR(ROUND(AVERAGE(G262:G264),2),"")</f>
        <v/>
      </c>
      <c r="I262" s="425" t="str">
        <f>IF(H262="","",IF(H262&gt;0.69,"Functioning",IF(H262&gt;0.29,"Functioning At Risk",IF(H262&gt;-1,"Not Functioning"))))</f>
        <v/>
      </c>
      <c r="J262" s="423"/>
      <c r="K262" s="423"/>
      <c r="L262" s="21"/>
    </row>
    <row r="263" spans="1:12" ht="15.75" x14ac:dyDescent="0.25">
      <c r="A263" s="428"/>
      <c r="B263" s="452"/>
      <c r="C263" s="229" t="s">
        <v>264</v>
      </c>
      <c r="D263" s="128"/>
      <c r="E263" s="305"/>
      <c r="F263" s="230" t="str">
        <f>IF(E263="","",ROUND(IF('Quantification Tool'!B$8="Mountains", IF(E263&lt;11,0,IF(E263&gt;35,1,E263^3*'Performance Standards'!AK$83+E263^2*'Performance Standards'!AK$84+E263*'Performance Standards'!AK$85+'Performance Standards'!AK$86)),IF('Quantification Tool'!B$8 = "Piedmont", IF(E263&lt;7,0,IF(E263&gt;27,1,E263^3*'Performance Standards'!AK$116+E263^2*'Performance Standards'!AK$117+E263*'Performance Standards'!AK$118+'Performance Standards'!AK$119)), IF('Quantification Tool'!B$8="Coastal Plain",IF(E263&lt;6,0,IF(E263&gt;23,1,E263^3*'Performance Standards'!AK$151+E263^2*'Performance Standards'!AK$152+E263*'Performance Standards'!AK$153+'Performance Standards'!AK$154))))),2))</f>
        <v/>
      </c>
      <c r="G263" s="461"/>
      <c r="H263" s="424"/>
      <c r="I263" s="425"/>
      <c r="J263" s="423"/>
      <c r="K263" s="423"/>
      <c r="L263" s="21"/>
    </row>
    <row r="264" spans="1:12" ht="15.75" x14ac:dyDescent="0.25">
      <c r="A264" s="429"/>
      <c r="B264" s="269" t="s">
        <v>146</v>
      </c>
      <c r="C264" s="128" t="s">
        <v>147</v>
      </c>
      <c r="D264" s="128"/>
      <c r="E264" s="305"/>
      <c r="F264" s="130" t="str">
        <f>IF(E264="","",IF(OR('Quantification Tool'!$B$15="French Broad",'Quantification Tool'!$B$15="Hiwassee",'Quantification Tool'!$B$15="Little Tennessee",'Quantification Tool'!$B$15="New",'Quantification Tool'!$B$15="Watauga"),IF(E264&lt;22,0,IF(E264&gt;=60,1,ROUND(E264*'Performance Standards'!$AK$185+'Performance Standards'!$AK$186,2))),IF(OR('Quantification Tool'!$B$15="Broad",'Quantification Tool'!$B$15="Catawba",'Quantification Tool'!$B$15="Savannah",'Quantification Tool'!$B$15="Yadkin-PeeDee"),IF(E264&lt;27,0,IF(E264&gt;=60,1,ROUND(E264^2*'Performance Standards'!$AK$219+E264*'Performance Standards'!$AK$220+'Performance Standards'!$AK$221,2))),IF(OR('Quantification Tool'!$B$15="Cape Fear",'Quantification Tool'!$B$15="Neuse",'Quantification Tool'!$B$15="Roanoke",'Quantification Tool'!$B$15="Tar-Pamlico"),IF(E264&lt;26,0,IF(E264&gt;=60,1,ROUND(E264^2*'Performance Standards'!$AK$253+E264*'Performance Standards'!$AK$254+'Performance Standards'!$AK$255,2)))))))</f>
        <v/>
      </c>
      <c r="G264" s="162" t="str">
        <f>IFERROR(AVERAGE(F264),"")</f>
        <v/>
      </c>
      <c r="H264" s="424"/>
      <c r="I264" s="425"/>
      <c r="J264" s="423"/>
      <c r="K264" s="423"/>
      <c r="L264" s="21"/>
    </row>
    <row r="265" spans="1:12" x14ac:dyDescent="0.25">
      <c r="L265" s="21"/>
    </row>
    <row r="266" spans="1:12" x14ac:dyDescent="0.25">
      <c r="L266" s="21"/>
    </row>
    <row r="267" spans="1:12" ht="21" x14ac:dyDescent="0.35">
      <c r="A267" s="323" t="s">
        <v>371</v>
      </c>
      <c r="B267" s="324"/>
      <c r="C267" s="325" t="s">
        <v>372</v>
      </c>
      <c r="D267" s="324"/>
      <c r="E267" s="326"/>
      <c r="F267" s="327"/>
      <c r="G267" s="433" t="s">
        <v>18</v>
      </c>
      <c r="H267" s="434"/>
      <c r="I267" s="434"/>
      <c r="J267" s="434"/>
      <c r="K267" s="435"/>
      <c r="L267" s="21"/>
    </row>
    <row r="268" spans="1:12" ht="15.75" x14ac:dyDescent="0.25">
      <c r="A268" s="280" t="s">
        <v>1</v>
      </c>
      <c r="B268" s="280" t="s">
        <v>2</v>
      </c>
      <c r="C268" s="462" t="s">
        <v>3</v>
      </c>
      <c r="D268" s="464"/>
      <c r="E268" s="280" t="s">
        <v>15</v>
      </c>
      <c r="F268" s="280" t="s">
        <v>16</v>
      </c>
      <c r="G268" s="280" t="s">
        <v>19</v>
      </c>
      <c r="H268" s="280" t="s">
        <v>20</v>
      </c>
      <c r="I268" s="280" t="s">
        <v>20</v>
      </c>
      <c r="J268" s="280" t="s">
        <v>21</v>
      </c>
      <c r="K268" s="95" t="s">
        <v>21</v>
      </c>
    </row>
    <row r="269" spans="1:12" ht="15.75" x14ac:dyDescent="0.25">
      <c r="A269" s="447" t="s">
        <v>78</v>
      </c>
      <c r="B269" s="279" t="s">
        <v>177</v>
      </c>
      <c r="C269" s="257" t="s">
        <v>329</v>
      </c>
      <c r="D269" s="97"/>
      <c r="E269" s="253"/>
      <c r="F269" s="260" t="str">
        <f>IF(E269="","",IF(E269&gt;78,0,IF(E269&lt;30,1,ROUND('Performance Standards'!C$14*E269^2+'Performance Standards'!C$15*E269+'Performance Standards'!C$16,2))))</f>
        <v/>
      </c>
      <c r="G269" s="157" t="str">
        <f>IFERROR(AVERAGE(F269),"")</f>
        <v/>
      </c>
      <c r="H269" s="492" t="str">
        <f>IFERROR(ROUND(AVERAGE(G269:G272),2),"")</f>
        <v/>
      </c>
      <c r="I269" s="425" t="str">
        <f>IF(H269="","",IF(H269&gt;0.69,"Functioning",IF(H269&gt;0.29,"Functioning At Risk",IF(H269&gt;-1,"Not Functioning"))))</f>
        <v/>
      </c>
      <c r="J269" s="423" t="str">
        <f>IF(AND(H269="",H273="",H275="",H294="",H300=""),"",ROUND((IF(H269="",0,H269)*0.2)+(IF(H273="",0,H273)*0.2)+(IF(H275="",0,H275)*0.2)+(IF(H294="",0,H294)*0.2)+(IF(H300="",0,H300)*0.2),2))</f>
        <v/>
      </c>
      <c r="K269" s="423" t="str">
        <f>IF(J269="","",IF(J269&lt;0.3, "Not Functioning",IF(OR(H269&lt;0.7,H273&lt;0.7,H275&lt;0.7,H294&lt;0.7,H300&lt;0.7),"Functioning At Risk",IF(J269&lt;0.7,"Functioning At Risk","Functioning"))))</f>
        <v/>
      </c>
    </row>
    <row r="270" spans="1:12" ht="15.75" x14ac:dyDescent="0.25">
      <c r="A270" s="448"/>
      <c r="B270" s="489" t="s">
        <v>328</v>
      </c>
      <c r="C270" s="257" t="s">
        <v>329</v>
      </c>
      <c r="D270" s="256"/>
      <c r="E270" s="253"/>
      <c r="F270" s="260" t="str">
        <f>IF(E270="","",IF(E270&gt;78,0,IF(E270&lt;30,1,ROUND('Performance Standards'!C$14*E270^2+'Performance Standards'!C$15*E270+'Performance Standards'!C$16,2))))</f>
        <v/>
      </c>
      <c r="G270" s="486" t="str">
        <f>IFERROR(AVERAGE(F270:F272),"")</f>
        <v/>
      </c>
      <c r="H270" s="493"/>
      <c r="I270" s="425"/>
      <c r="J270" s="423"/>
      <c r="K270" s="423"/>
    </row>
    <row r="271" spans="1:12" ht="15.75" x14ac:dyDescent="0.25">
      <c r="A271" s="448"/>
      <c r="B271" s="490"/>
      <c r="C271" s="258" t="s">
        <v>330</v>
      </c>
      <c r="D271" s="97"/>
      <c r="E271" s="304"/>
      <c r="F271" s="98" t="str">
        <f>IF(E271="","",IF(E271&gt;3,0,IF(E271=0,1,ROUND('Performance Standards'!C$48*E271+'Performance Standards'!C$49,2))))</f>
        <v/>
      </c>
      <c r="G271" s="487"/>
      <c r="H271" s="493"/>
      <c r="I271" s="425"/>
      <c r="J271" s="423"/>
      <c r="K271" s="423"/>
    </row>
    <row r="272" spans="1:12" ht="15.75" x14ac:dyDescent="0.25">
      <c r="A272" s="448"/>
      <c r="B272" s="491"/>
      <c r="C272" s="259" t="s">
        <v>331</v>
      </c>
      <c r="D272" s="101"/>
      <c r="E272" s="305"/>
      <c r="F272" s="255" t="str">
        <f>IF(E272="","",IF(E272&gt;=30,1,ROUND('Performance Standards'!$C$83*E272^2+'Performance Standards'!$C$84*E272+'Performance Standards'!$C$85,2)))</f>
        <v/>
      </c>
      <c r="G272" s="488"/>
      <c r="H272" s="493"/>
      <c r="I272" s="425"/>
      <c r="J272" s="423"/>
      <c r="K272" s="423"/>
    </row>
    <row r="273" spans="1:13" ht="15.75" x14ac:dyDescent="0.25">
      <c r="A273" s="445" t="s">
        <v>6</v>
      </c>
      <c r="B273" s="445" t="s">
        <v>7</v>
      </c>
      <c r="C273" s="102" t="s">
        <v>8</v>
      </c>
      <c r="D273" s="102"/>
      <c r="E273" s="304"/>
      <c r="F273" s="103" t="str">
        <f>IF(E273="","",ROUND(IF(E273&gt;1.6,0,IF(E273&lt;=1,1,E273^2*'Performance Standards'!K$14+E273*'Performance Standards'!K$15+'Performance Standards'!K$16)),2))</f>
        <v/>
      </c>
      <c r="G273" s="449" t="str">
        <f>IFERROR(AVERAGE(F273:F274),"")</f>
        <v/>
      </c>
      <c r="H273" s="449" t="str">
        <f>IFERROR(ROUND(AVERAGE(G273),2),"")</f>
        <v/>
      </c>
      <c r="I273" s="436" t="str">
        <f>IF(H273="","",IF(H273&gt;0.69,"Functioning",IF(H273&gt;0.29,"Functioning At Risk",IF(H273&gt;-1,"Not Functioning"))))</f>
        <v/>
      </c>
      <c r="J273" s="423"/>
      <c r="K273" s="423"/>
    </row>
    <row r="274" spans="1:13" ht="15.75" x14ac:dyDescent="0.25">
      <c r="A274" s="446"/>
      <c r="B274" s="446"/>
      <c r="C274" s="104" t="s">
        <v>9</v>
      </c>
      <c r="D274" s="104"/>
      <c r="E274" s="305"/>
      <c r="F274" s="105" t="str">
        <f>IF(E274="","",IF(OR('Quantification Tool'!B$7="A",'Quantification Tool'!B$7="B", 'Quantification Tool'!B$7="Bc"),IF(E274&lt;1.2,0,IF(E274&gt;=2.2,1,ROUND(IF(E274&lt;1.4,E274*'Performance Standards'!$K$84+'Performance Standards'!$K$85,E274*'Performance Standards'!$L$84+'Performance Standards'!$L$85),2))),IF(OR('Quantification Tool'!B$7="C",'Quantification Tool'!B$7="E"),IF(E274&lt;2,0,IF(E274&gt;=5,1,ROUND(IF(E274&lt;2.4,E274*'Performance Standards'!$L$49+'Performance Standards'!$L$50,E274*'Performance Standards'!$K$49+'Performance Standards'!$K$50),2))))))</f>
        <v/>
      </c>
      <c r="G274" s="450"/>
      <c r="H274" s="450"/>
      <c r="I274" s="437"/>
      <c r="J274" s="423"/>
      <c r="K274" s="423"/>
    </row>
    <row r="275" spans="1:13" ht="15.75" x14ac:dyDescent="0.25">
      <c r="A275" s="439" t="s">
        <v>30</v>
      </c>
      <c r="B275" s="439" t="s">
        <v>31</v>
      </c>
      <c r="C275" s="111" t="s">
        <v>27</v>
      </c>
      <c r="D275" s="318"/>
      <c r="E275" s="253"/>
      <c r="F275" s="132" t="str">
        <f>IF(E275="","",IF(E275&gt;700,1,IF(E275&lt;300,ROUND('Performance Standards'!$S$14*(E275^2)+'Performance Standards'!$S$15*E275+'Performance Standards'!$S$16,2),ROUND('Performance Standards'!$T$15*E275+'Performance Standards'!$T$16,2))))</f>
        <v/>
      </c>
      <c r="G275" s="441" t="str">
        <f>IFERROR(AVERAGE(F275:F276),"")</f>
        <v/>
      </c>
      <c r="H275" s="438" t="str">
        <f>IFERROR(ROUND(AVERAGE(G275:G293),2),"")</f>
        <v/>
      </c>
      <c r="I275" s="423" t="str">
        <f>IF(H275="","",IF(H275&gt;0.69,"Functioning",IF(H275&gt;0.29,"Functioning At Risk",IF(H275&gt;-1,"Not Functioning"))))</f>
        <v/>
      </c>
      <c r="J275" s="423"/>
      <c r="K275" s="423"/>
    </row>
    <row r="276" spans="1:13" ht="15.75" x14ac:dyDescent="0.25">
      <c r="A276" s="443"/>
      <c r="B276" s="440"/>
      <c r="C276" s="113" t="s">
        <v>369</v>
      </c>
      <c r="D276" s="317"/>
      <c r="E276" s="305"/>
      <c r="F276" s="319" t="str">
        <f>IF(E276="","",IF(E276&gt;30,1,IF(E276&lt;16,ROUND('Performance Standards'!$S$48*(E276^2)+'Performance Standards'!$S$49*E276+'Performance Standards'!$S$50,2),ROUND('Performance Standards'!$T$49*E276+'Performance Standards'!$T$50,2))))</f>
        <v/>
      </c>
      <c r="G276" s="442"/>
      <c r="H276" s="438"/>
      <c r="I276" s="423"/>
      <c r="J276" s="423"/>
      <c r="K276" s="423"/>
    </row>
    <row r="277" spans="1:13" ht="15.75" x14ac:dyDescent="0.25">
      <c r="A277" s="443"/>
      <c r="B277" s="443" t="s">
        <v>54</v>
      </c>
      <c r="C277" s="111" t="s">
        <v>156</v>
      </c>
      <c r="D277" s="114"/>
      <c r="E277" s="253"/>
      <c r="F277" s="109" t="str">
        <f>IF(E277="","",ROUND(IF(E277&gt;0.7,0,IF(E277&lt;=0.1,1,E277^3*'Performance Standards'!S$83+E277^2*'Performance Standards'!S$84+E277*'Performance Standards'!S$85+'Performance Standards'!S$86)),2))</f>
        <v/>
      </c>
      <c r="G277" s="444" t="str">
        <f>IFERROR(IF(E277="",AVERAGE(F278:F279),IF(E278="",F277,MIN(F277,AVERAGE(F278:F279)))),"")</f>
        <v/>
      </c>
      <c r="H277" s="438"/>
      <c r="I277" s="423"/>
      <c r="J277" s="423"/>
      <c r="K277" s="423"/>
    </row>
    <row r="278" spans="1:13" ht="15.75" x14ac:dyDescent="0.25">
      <c r="A278" s="443"/>
      <c r="B278" s="443"/>
      <c r="C278" s="112" t="s">
        <v>55</v>
      </c>
      <c r="D278" s="108"/>
      <c r="E278" s="304"/>
      <c r="F278" s="109" t="str">
        <f>IF(E278="","",IF(OR(E278="Ex/Ex",E278="Ex/VH"),0, IF(OR(E278="Ex/H",E278="VH/Ex",E278="VH/VH", E278="H/Ex",E278="H/VH",E278="M/Ex"),0.1,IF(OR(E278="Ex/M",E278="VH/H",E278="H/H", E278="M/VH"),0.2, IF(OR(E278="Ex/L",E278="VH/M",E278="H/M", E278="M/H",E278="L/Ex"),0.3, IF(OR(E278="Ex/VL",E278="VH/L",E278="H/L"),0.4, IF(OR(E278="VH/VL",E278="H/VL",E278="M/M", E278="L/VH"),0.5, IF(OR(E278="M/L",E278="L/H"),0.6, IF(OR(E278="M/VL",E278="L/M"),0.7, IF(OR(E278="L/L",E278="L/VL"),1))))))))))</f>
        <v/>
      </c>
      <c r="G278" s="444"/>
      <c r="H278" s="438"/>
      <c r="I278" s="423"/>
      <c r="J278" s="423"/>
      <c r="K278" s="423"/>
    </row>
    <row r="279" spans="1:13" ht="15.75" x14ac:dyDescent="0.25">
      <c r="A279" s="443"/>
      <c r="B279" s="443"/>
      <c r="C279" s="113" t="s">
        <v>192</v>
      </c>
      <c r="D279" s="116"/>
      <c r="E279" s="305"/>
      <c r="F279" s="118" t="str">
        <f>IF(E279="","",ROUND(IF(E279&gt;40,0,IF(E279&lt;5,1,E279^3*'Performance Standards'!S$118+E279^2*'Performance Standards'!S$119+E279*'Performance Standards'!S$120+'Performance Standards'!S$121)),2))</f>
        <v/>
      </c>
      <c r="G279" s="444"/>
      <c r="H279" s="438"/>
      <c r="I279" s="423"/>
      <c r="J279" s="423"/>
      <c r="K279" s="423"/>
    </row>
    <row r="280" spans="1:13" ht="15.75" x14ac:dyDescent="0.25">
      <c r="A280" s="443"/>
      <c r="B280" s="439" t="s">
        <v>56</v>
      </c>
      <c r="C280" s="114" t="s">
        <v>242</v>
      </c>
      <c r="D280" s="114"/>
      <c r="E280" s="253"/>
      <c r="F280" s="132" t="str">
        <f>IF(E280="","",ROUND(IF(E280&gt;90,1,E280^2*'Performance Standards'!S$153+E280*'Performance Standards'!S$154+'Performance Standards'!S$155),2))</f>
        <v/>
      </c>
      <c r="G280" s="441" t="str">
        <f>IFERROR(AVERAGE(F280:F287),"")</f>
        <v/>
      </c>
      <c r="H280" s="438"/>
      <c r="I280" s="423"/>
      <c r="J280" s="423"/>
      <c r="K280" s="423"/>
    </row>
    <row r="281" spans="1:13" ht="15.75" x14ac:dyDescent="0.25">
      <c r="A281" s="443"/>
      <c r="B281" s="443"/>
      <c r="C281" s="108" t="s">
        <v>243</v>
      </c>
      <c r="D281" s="108"/>
      <c r="E281" s="304"/>
      <c r="F281" s="109" t="str">
        <f>IF(E281="","",ROUND(IF(E281&gt;90,1,E281^2*'Performance Standards'!S$153+E281*'Performance Standards'!S$154+'Performance Standards'!S$155),2))</f>
        <v/>
      </c>
      <c r="G281" s="444"/>
      <c r="H281" s="438"/>
      <c r="I281" s="423"/>
      <c r="J281" s="423"/>
      <c r="K281" s="423"/>
    </row>
    <row r="282" spans="1:13" ht="15.75" x14ac:dyDescent="0.25">
      <c r="A282" s="443"/>
      <c r="B282" s="443"/>
      <c r="C282" s="108" t="s">
        <v>170</v>
      </c>
      <c r="D282" s="108"/>
      <c r="E282" s="304"/>
      <c r="F282" s="109" t="str">
        <f>IF(E282="","",ROUND(IF(OR('Quantification Tool'!B$7="A",'Quantification Tool'!B$7="B",'Quantification Tool'!B$7="Bc"),IF(E282&gt;=50,1, IF(E282&lt;30, E282*'Performance Standards'!S$188+'Performance Standards'!S$189, E282*'Performance Standards'!T$188+'Performance Standards'!T$189)), IF(E282&gt;=150,1,IF(E282&lt;48, E282^2*'Performance Standards'!S$222+E282*'Performance Standards'!S$223+'Performance Standards'!S$224, E282*'Performance Standards'!T$223+'Performance Standards'!T$224))),2))</f>
        <v/>
      </c>
      <c r="G282" s="444"/>
      <c r="H282" s="438"/>
      <c r="I282" s="423"/>
      <c r="J282" s="423"/>
      <c r="K282" s="423"/>
    </row>
    <row r="283" spans="1:13" ht="15.75" x14ac:dyDescent="0.25">
      <c r="A283" s="443"/>
      <c r="B283" s="443"/>
      <c r="C283" s="108" t="s">
        <v>171</v>
      </c>
      <c r="D283" s="108"/>
      <c r="E283" s="304"/>
      <c r="F283" s="109" t="str">
        <f>IF(E283="","",ROUND(IF(OR('Quantification Tool'!B$7="A",'Quantification Tool'!B$7="B",'Quantification Tool'!B$7="Bc"),IF(E283&gt;=50,1, IF(E283&lt;30, E283*'Performance Standards'!S$188+'Performance Standards'!S$189, E283*'Performance Standards'!T$188+'Performance Standards'!T$189)), IF(E283&gt;=150,1,IF(E283&lt;48, E283^2*'Performance Standards'!S$222+E283*'Performance Standards'!S$223+'Performance Standards'!S$224, E283*'Performance Standards'!T$223+'Performance Standards'!T$224))),2))</f>
        <v/>
      </c>
      <c r="G283" s="444"/>
      <c r="H283" s="438"/>
      <c r="I283" s="423"/>
      <c r="J283" s="423"/>
      <c r="K283" s="423"/>
    </row>
    <row r="284" spans="1:13" ht="15.75" x14ac:dyDescent="0.25">
      <c r="A284" s="443"/>
      <c r="B284" s="443"/>
      <c r="C284" s="108" t="s">
        <v>251</v>
      </c>
      <c r="D284" s="108"/>
      <c r="E284" s="304"/>
      <c r="F284" s="109" t="str">
        <f>IF(E284="","",ROUND(IF(E284&gt;100,1,E284^2*'Performance Standards'!S$255+E284*'Performance Standards'!S$256+'Performance Standards'!S$257),2))</f>
        <v/>
      </c>
      <c r="G284" s="444"/>
      <c r="H284" s="438"/>
      <c r="I284" s="423"/>
      <c r="J284" s="423"/>
      <c r="K284" s="423"/>
    </row>
    <row r="285" spans="1:13" ht="15.75" x14ac:dyDescent="0.25">
      <c r="A285" s="443"/>
      <c r="B285" s="443"/>
      <c r="C285" s="108" t="s">
        <v>252</v>
      </c>
      <c r="D285" s="108"/>
      <c r="E285" s="304"/>
      <c r="F285" s="109" t="str">
        <f>IF(E285="","",ROUND(IF(E285&gt;100,1,E285^2*'Performance Standards'!S$255+E285*'Performance Standards'!S$256+'Performance Standards'!S$257),2))</f>
        <v/>
      </c>
      <c r="G285" s="444"/>
      <c r="H285" s="438"/>
      <c r="I285" s="423"/>
      <c r="J285" s="423"/>
      <c r="K285" s="423"/>
    </row>
    <row r="286" spans="1:13" ht="15.75" x14ac:dyDescent="0.25">
      <c r="A286" s="443"/>
      <c r="B286" s="443"/>
      <c r="C286" s="112" t="s">
        <v>342</v>
      </c>
      <c r="D286" s="108"/>
      <c r="E286" s="304"/>
      <c r="F286" s="109" t="str">
        <f>IF(E286="","",ROUND(IF(E286&gt;=260,0.5,E286*'Performance Standards'!S$288+'Performance Standards'!S$289),2))</f>
        <v/>
      </c>
      <c r="G286" s="444"/>
      <c r="H286" s="438"/>
      <c r="I286" s="423"/>
      <c r="J286" s="423"/>
      <c r="K286" s="423"/>
      <c r="M286" s="21"/>
    </row>
    <row r="287" spans="1:13" ht="15.75" x14ac:dyDescent="0.25">
      <c r="A287" s="443"/>
      <c r="B287" s="440"/>
      <c r="C287" s="113" t="s">
        <v>343</v>
      </c>
      <c r="D287" s="108"/>
      <c r="E287" s="304"/>
      <c r="F287" s="219" t="str">
        <f>IF(E287="","",ROUND(IF(E287&gt;=260,0.5,E287*'Performance Standards'!S$288+'Performance Standards'!S$289),2))</f>
        <v/>
      </c>
      <c r="G287" s="442"/>
      <c r="H287" s="438"/>
      <c r="I287" s="423"/>
      <c r="J287" s="423"/>
      <c r="K287" s="423"/>
    </row>
    <row r="288" spans="1:13" ht="15.75" x14ac:dyDescent="0.25">
      <c r="A288" s="443"/>
      <c r="B288" s="106" t="s">
        <v>254</v>
      </c>
      <c r="C288" s="131" t="s">
        <v>345</v>
      </c>
      <c r="D288" s="107"/>
      <c r="E288" s="87"/>
      <c r="F288" s="109" t="str">
        <f>IF(E288="","",IF('Quantification Tool'!B$10="Gravel",IF(E288&gt;0.1,1,IF(E288&lt;=0.01,0,ROUND(E288*'Performance Standards'!$S$323+'Performance Standards'!$S$324,2)))))</f>
        <v/>
      </c>
      <c r="G288" s="155" t="str">
        <f>IFERROR(AVERAGE(F288),"")</f>
        <v/>
      </c>
      <c r="H288" s="438"/>
      <c r="I288" s="423"/>
      <c r="J288" s="423"/>
      <c r="K288" s="423"/>
    </row>
    <row r="289" spans="1:12" ht="15.75" x14ac:dyDescent="0.25">
      <c r="A289" s="443"/>
      <c r="B289" s="439" t="s">
        <v>57</v>
      </c>
      <c r="C289" s="111" t="s">
        <v>58</v>
      </c>
      <c r="D289" s="114"/>
      <c r="E289" s="253"/>
      <c r="F289" s="310" t="str">
        <f>IF(E289="","",IF('Quantification Tool'!B$13&gt;=4,IF(AND(E289&lt;=5,E289&gt;=0.1),1,IF(OR(E289&lt;0.1,E289&gt;8),0,ROUND(E289*'Performance Standards'!$S$357+'Performance Standards'!$S$358,2))), IF(AND('Quantification Tool'!B$9&gt;=10,OR('Quantification Tool'!B$7="C",'Quantification Tool'!B$7="E")),IF(OR(E289&lt;3,E289&gt;8),0,IF(AND(E289&gt;=4,E289&lt;=7),1,ROUND(E289^2*'Performance Standards'!$S$389+E289*'Performance Standards'!$S$390+'Performance Standards'!$S$391,2))),  IF(AND('Quantification Tool'!B$9&lt;10,OR('Quantification Tool'!B$7="C",'Quantification Tool'!B$7="E")),IF(OR(E289&lt;3,E289&gt;7),0,IF(E289&lt;4,ROUND(E289*'Performance Standards'!$S$423+'Performance Standards'!$S$424,2), IF(E289&gt;5, ROUND(E289*'Performance Standards'!$T$423+'Performance Standards'!T$424,2),1))),IF(OR(AND('Quantification Tool'!B$13&lt;2,'Quantification Tool'!B$7="Bc"),AND('Quantification Tool'!B$13&gt;=2,'Quantification Tool'!B$13&lt;=4,'Quantification Tool'!B$7="B")),ROUND(IF(E289&gt;8,0,IF(E289&lt;=0.6,1,E289^2*'Performance Standards'!$S$455+E289*'Performance Standards'!$S$456+'Performance Standards'!$S$457)),2))))))</f>
        <v/>
      </c>
      <c r="G289" s="441" t="str">
        <f>IFERROR(AVERAGE(F289:F292),"")</f>
        <v/>
      </c>
      <c r="H289" s="438"/>
      <c r="I289" s="423"/>
      <c r="J289" s="423"/>
      <c r="K289" s="423"/>
    </row>
    <row r="290" spans="1:12" ht="15.75" x14ac:dyDescent="0.25">
      <c r="A290" s="443"/>
      <c r="B290" s="443"/>
      <c r="C290" s="112" t="s">
        <v>59</v>
      </c>
      <c r="D290" s="108"/>
      <c r="E290" s="304"/>
      <c r="F290" s="311" t="str">
        <f>IF(E290="","",IF(E290&lt;=1.1,0,IF(OR('Quantification Tool'!B$7="A", 'Quantification Tool'!B$7="B", 'Quantification Tool'!B$7="Bc"),IF(E290&gt;1.74,1,ROUND(IF(E290&lt;1.2,E290*'Performance Standards'!S$556+'Performance Standards'!S$557,E290*'Performance Standards'!T$556+'Performance Standards'!T$557),2)),IF(OR('Quantification Tool'!B$7="C", 'Quantification Tool'!B$7="E"),IF('Quantification Tool'!B$10="Gravel",IF(E290&gt;1.74,1,ROUND(IF(E290&lt;1.2,E290*'Performance Standards'!S$489+'Performance Standards'!S$490,E290*'Performance Standards'!T$489+'Performance Standards'!T$490),2)),IF('Quantification Tool'!B$10="Sand",IF(E290&gt;=1.25,1,ROUND(E290^2*'Performance Standards'!S$521+E290*'Performance Standards'!S$522+'Performance Standards'!S$523,2))))))))</f>
        <v/>
      </c>
      <c r="G290" s="444"/>
      <c r="H290" s="438"/>
      <c r="I290" s="423"/>
      <c r="J290" s="423"/>
      <c r="K290" s="423"/>
    </row>
    <row r="291" spans="1:12" ht="15.75" x14ac:dyDescent="0.25">
      <c r="A291" s="443"/>
      <c r="B291" s="443"/>
      <c r="C291" s="112" t="s">
        <v>62</v>
      </c>
      <c r="D291" s="108"/>
      <c r="E291" s="304"/>
      <c r="F291" s="312" t="str">
        <f>IF(E291="","",IF('Quantification Tool'!B$13="","Need Slope",IF('Quantification Tool'!B$13&lt;3,ROUND(IF(OR(E291&gt;83,E291&lt;32),0, IF(E291&lt;60,E291*'Performance Standards'!S$591+'Performance Standards'!S$592,IF(E291&gt;70,E291^2*'Performance Standards'!T$590+E291*'Performance Standards'!T$591+'Performance Standards'!T$592,1))),2),IF('Quantification Tool'!B$13&gt;10,ROUND(IF(E291&gt;=80,1,IF(E291&lt;67,0,E291^2*'Performance Standards'!S$657+E291*'Performance Standards'!S$658+'Performance Standards'!S$659)),2),IF(OR(E291&gt;76, E291&lt;34),0,IF(AND(E291&gt;49,E291&lt;61),1,ROUND(IF(E291&lt;50,E291*'Performance Standards'!S$625+'Performance Standards'!S$626,E291*'Performance Standards'!T$625+'Performance Standards'!T$626),2)))))))</f>
        <v/>
      </c>
      <c r="G291" s="444"/>
      <c r="H291" s="438"/>
      <c r="I291" s="423"/>
      <c r="J291" s="423"/>
      <c r="K291" s="423"/>
    </row>
    <row r="292" spans="1:12" ht="15.75" x14ac:dyDescent="0.25">
      <c r="A292" s="443"/>
      <c r="B292" s="440"/>
      <c r="C292" s="116" t="s">
        <v>363</v>
      </c>
      <c r="D292" s="116"/>
      <c r="E292" s="305"/>
      <c r="F292" s="117" t="str">
        <f>IF(E292="","",IF(E292&gt;=1.6,0,IF(E292&lt;=1,1,ROUND('Performance Standards'!$S$689*E292^3+'Performance Standards'!$S$690*E292^2+'Performance Standards'!$S$691*E292+'Performance Standards'!$S$692,2))))</f>
        <v/>
      </c>
      <c r="G292" s="442"/>
      <c r="H292" s="438"/>
      <c r="I292" s="423"/>
      <c r="J292" s="423"/>
      <c r="K292" s="423"/>
    </row>
    <row r="293" spans="1:12" ht="15.75" x14ac:dyDescent="0.25">
      <c r="A293" s="440"/>
      <c r="B293" s="320" t="s">
        <v>64</v>
      </c>
      <c r="C293" s="116" t="s">
        <v>63</v>
      </c>
      <c r="D293" s="116"/>
      <c r="E293" s="305"/>
      <c r="F293" s="118" t="str">
        <f>IF(E293="","",IF(AND('Quantification Tool'!B$7="E",'Quantification Tool'!$B$10="Sand",'Quantification Tool'!$B$18="Unconfined Alluvial"),ROUND(IF(OR(E293&gt;1.8,E293&lt;1.3),0,IF(E293&lt;=1.6,1,E293*'Performance Standards'!$S$723+'Performance Standards'!$S$724)),2),    IF('Quantification Tool'!$B$18="Unconfined Alluvial",ROUND(IF(OR(E293&lt;1.2, E293&gt;1.5),0,IF(E293&lt;=1.4,1,E293*'Performance Standards'!$S$756+'Performance Standards'!$S$757)),2), IF('Quantification Tool'!$B$18="Confined Alluvial",ROUND(IF(E293&lt;1.15,0,IF(E293&lt;=1.4,E293*'Performance Standards'!$S$785+'Performance Standards'!$S$786,1)),2),  IF('Quantification Tool'!$B$18="Colluvial",ROUND(IF(E293&gt;1.3,0,IF(E293&gt;1.2,E293*'Performance Standards'!$S$815+'Performance Standards'!$S$816,1)),2) )))))</f>
        <v/>
      </c>
      <c r="G293" s="158" t="str">
        <f>IFERROR(AVERAGE(F293),"")</f>
        <v/>
      </c>
      <c r="H293" s="438"/>
      <c r="I293" s="423"/>
      <c r="J293" s="423"/>
      <c r="K293" s="423"/>
      <c r="L293" s="13"/>
    </row>
    <row r="294" spans="1:12" ht="15.75" x14ac:dyDescent="0.25">
      <c r="A294" s="431" t="s">
        <v>68</v>
      </c>
      <c r="B294" s="122" t="s">
        <v>161</v>
      </c>
      <c r="C294" s="133" t="s">
        <v>438</v>
      </c>
      <c r="D294" s="123"/>
      <c r="E294" s="87"/>
      <c r="F294" s="124" t="str">
        <f>IF(E294="","",IF('Quantification Tool'!$B$16="Coldwater",IF(E294&gt;77,0,IF(E294&lt;59,1,ROUND(E294*'Performance Standards'!$AB$15+'Performance Standards'!$AB$16,2))),IF('Quantification Tool'!$B$16="Coolwater",IF(E294&gt;97,0,IF(E294&lt;67,1,ROUND(E294*'Performance Standards'!$AC$15+'Performance Standards'!$AC$16,2))))))</f>
        <v/>
      </c>
      <c r="G294" s="159" t="str">
        <f>IFERROR(AVERAGE(F294),"")</f>
        <v/>
      </c>
      <c r="H294" s="426" t="str">
        <f>IFERROR(ROUND(AVERAGE(G294:G299),2),"")</f>
        <v/>
      </c>
      <c r="I294" s="425" t="str">
        <f>IF(H294="","",IF(H294&gt;0.69,"Functioning",IF(H294&gt;0.29,"Functioning At Risk",IF(H294&gt;-1,"Not Functioning"))))</f>
        <v/>
      </c>
      <c r="J294" s="423"/>
      <c r="K294" s="423"/>
      <c r="L294" s="13"/>
    </row>
    <row r="295" spans="1:12" ht="15.75" x14ac:dyDescent="0.25">
      <c r="A295" s="430"/>
      <c r="B295" s="277" t="s">
        <v>194</v>
      </c>
      <c r="C295" s="127" t="s">
        <v>197</v>
      </c>
      <c r="D295" s="120"/>
      <c r="E295" s="304"/>
      <c r="F295" s="121" t="str">
        <f>IF(E295="","",ROUND(IF(E295&gt;=284,0,E295*'Performance Standards'!AB$116+'Performance Standards'!AB$117),2))</f>
        <v/>
      </c>
      <c r="G295" s="159" t="str">
        <f>IFERROR(AVERAGE(F295),"")</f>
        <v/>
      </c>
      <c r="H295" s="426"/>
      <c r="I295" s="425"/>
      <c r="J295" s="423"/>
      <c r="K295" s="423"/>
      <c r="L295" s="21"/>
    </row>
    <row r="296" spans="1:12" ht="15.75" x14ac:dyDescent="0.25">
      <c r="A296" s="430"/>
      <c r="B296" s="430" t="s">
        <v>195</v>
      </c>
      <c r="C296" s="263" t="s">
        <v>92</v>
      </c>
      <c r="D296" s="215"/>
      <c r="E296" s="253"/>
      <c r="F296" s="134" t="str">
        <f>IF(E296="","",IF(OR(E296&lt;0.5,E296&gt;2), 0, ROUND(IF(E296&lt;0.75, E296*'Performance Standards'!$AB$153+'Performance Standards'!$AB$154, IF(E296&lt;=1.33, E296*'Performance Standards'!$AC$153+'Performance Standards'!$AC$154,E296*'Performance Standards'!$AD$153+'Performance Standards'!$AD$154)),2)))</f>
        <v/>
      </c>
      <c r="G296" s="456" t="str">
        <f>IFERROR(AVERAGE(F296:F297),"")</f>
        <v/>
      </c>
      <c r="H296" s="426"/>
      <c r="I296" s="425"/>
      <c r="J296" s="423"/>
      <c r="K296" s="423"/>
      <c r="L296" s="21"/>
    </row>
    <row r="297" spans="1:12" ht="15.75" x14ac:dyDescent="0.25">
      <c r="A297" s="430"/>
      <c r="B297" s="430"/>
      <c r="C297" s="135" t="s">
        <v>193</v>
      </c>
      <c r="D297" s="127"/>
      <c r="E297" s="305"/>
      <c r="F297" s="121" t="str">
        <f>IF(E297="","",IF('Quantification Tool'!$B$8 = "Mountains", IF('Quantification Tool'!$B$9 &lt;=5, IF( 'Quantification Tool'!$B$17= "Winter/Spring", ROUND(IF(E297&gt;=23,1,E297*'Performance Standards'!$AB$188+'Performance Standards'!$AB$189),2), IF('Quantification Tool'!$B$17= "Summer", ROUND(IF(E297&gt;=21,1,E297*'Performance Standards'!$AC$188),2), IF('Quantification Tool'!$B$17= "Fall", ROUND(IF(E297&gt;=18,1,E297*'Performance Standards'!$AD$188),2)))), IF('Quantification Tool'!$B$9&lt;10, IF('Quantification Tool'!$B$17= "Winter/Spring", ROUND(IF(E297&gt;16,1,E297*'Performance Standards'!$AB$222),2),IF('Quantification Tool'!$B$17= "Summer",ROUND(IF(E297&gt;14,1,E297*'Performance Standards'!$AC$222),2), IF('Quantification Tool'!$B$17= "Fall",ROUND(IF(E297&gt;12,1,E297*'Performance Standards'!$AD$222),2)))), IF('Quantification Tool'!$B$17= "Winter/Spring", ROUND(IF(E297&gt;14,1,E297*'Performance Standards'!$AB$256),2),IF('Quantification Tool'!$B$17= "Summer",ROUND(IF(E297&gt;16,1,E297*'Performance Standards'!$AC$256),2), IF('Quantification Tool'!$B$17= "Fall",ROUND(IF(E297&gt;15,1,E297*'Performance Standards'!$AD$256),2)))))), IF('Quantification Tool'!$B$8 = "Piedmont",  IF('Quantification Tool'!$B$9 &lt;=5, IF( 'Quantification Tool'!$B$17= "Winter/Spring", ROUND(IF(E297&gt;=18,1,E297*'Performance Standards'!$AB$290),2), IF('Quantification Tool'!$B$17= "Summer", ROUND(IF(E297&gt;=12,1,E297*'Performance Standards'!$AC$290),2), IF('Quantification Tool'!$B$17= "Fall", ROUND(IF(E297&gt;=14,1,E297*'Performance Standards'!$AD$290),2)))), IF('Quantification Tool'!$B$9&lt;10, IF('Quantification Tool'!$B$17= "Winter/Spring", ROUND(IF(E297&gt;12,1,E297*'Performance Standards'!$AB$326),2),IF('Quantification Tool'!$B$17= "Summer",ROUND(IF(E297&gt;5,1,E297*'Performance Standards'!$AC$326),2), IF('Quantification Tool'!$B$17= "Fall",ROUND(IF(E297&gt;8,1,E297*'Performance Standards'!$AD$326),2)))), IF('Quantification Tool'!$B$17= "Winter/Spring", ROUND(IF(E297&gt;8,1,E297*'Performance Standards'!$AB$360),2),IF('Quantification Tool'!$B$17= "Summer",ROUND(IF(E297&gt;7,1,E297*'Performance Standards'!$AC$360),2), IF('Quantification Tool'!$B$17= "Fall",ROUND(IF(E297&gt;8,1,E297*'Performance Standards'!$AD$360),2)))))),IF('Quantification Tool'!$B$8 = "Coastal Plain", IF('Quantification Tool'!$B$9 &lt;=5, IF( 'Quantification Tool'!$B$17= "Winter/Spring", ROUND(IF(E297&gt;=33,1,E297*'Performance Standards'!$AB$392),2), IF('Quantification Tool'!$B$17= "Summer", ROUND(IF(E297&gt;=14,1,E297*'Performance Standards'!$AC$392),2), IF('Quantification Tool'!$B$17= "Fall", ROUND(IF(E297&gt;=25,1,E297*'Performance Standards'!$AD$392),2)))), IF('Quantification Tool'!$B$9&lt;10, IF('Quantification Tool'!$B$17= "Winter/Spring", ROUND(IF(E297&gt;20,1,E297*'Performance Standards'!$AB$424),2),IF('Quantification Tool'!$B$17= "Summer",ROUND(IF(E297&gt;13,1,E297*'Performance Standards'!$AC$424),2), IF('Quantification Tool'!$B$17= "Fall",ROUND(IF(E297&gt;12,1,E297*'Performance Standards'!$AD$424),2)))), IF('Quantification Tool'!$B$17= "Winter/Spring", ROUND(IF(E297&gt;17,1,E297*'Performance Standards'!$AB$458),2),IF('Quantification Tool'!$B$17= "Summer",ROUND(IF(E297&gt;16,1,E297*'Performance Standards'!$AC$458),2), IF('Quantification Tool'!$B$17= "Fall",ROUND(IF(E297&gt;8,1,E297*'Performance Standards'!$AD$458),2))))))))))</f>
        <v/>
      </c>
      <c r="G297" s="457"/>
      <c r="H297" s="426"/>
      <c r="I297" s="425"/>
      <c r="J297" s="423"/>
      <c r="K297" s="423"/>
      <c r="L297" s="21"/>
    </row>
    <row r="298" spans="1:12" ht="15.75" x14ac:dyDescent="0.25">
      <c r="A298" s="430"/>
      <c r="B298" s="122" t="s">
        <v>162</v>
      </c>
      <c r="C298" s="377" t="s">
        <v>446</v>
      </c>
      <c r="D298" s="123"/>
      <c r="E298" s="304"/>
      <c r="F298" s="125" t="str">
        <f>IF(E298="","",IF(E298&gt;4,0,ROUND(E298^2*'Performance Standards'!$AB$488+E298*'Performance Standards'!$AB$489+'Performance Standards'!$AB$490,2)))</f>
        <v/>
      </c>
      <c r="G298" s="161" t="str">
        <f>IFERROR(AVERAGE(F298),"")</f>
        <v/>
      </c>
      <c r="H298" s="426"/>
      <c r="I298" s="425"/>
      <c r="J298" s="423"/>
      <c r="K298" s="423"/>
      <c r="L298" s="21"/>
    </row>
    <row r="299" spans="1:12" ht="15.75" x14ac:dyDescent="0.25">
      <c r="A299" s="432"/>
      <c r="B299" s="277" t="s">
        <v>163</v>
      </c>
      <c r="C299" s="377" t="s">
        <v>447</v>
      </c>
      <c r="D299" s="120"/>
      <c r="E299" s="253"/>
      <c r="F299" s="121" t="str">
        <f>IF(E299="","",IF(E299&gt;0.23,0,ROUND(E299^2*'Performance Standards'!$AB$521+E299*'Performance Standards'!$AB$522+'Performance Standards'!$AB$523,2)))</f>
        <v/>
      </c>
      <c r="G299" s="159" t="str">
        <f>IFERROR(AVERAGE(F299),"")</f>
        <v/>
      </c>
      <c r="H299" s="426"/>
      <c r="I299" s="425"/>
      <c r="J299" s="423"/>
      <c r="K299" s="423"/>
      <c r="L299" s="21"/>
    </row>
    <row r="300" spans="1:12" ht="15.75" x14ac:dyDescent="0.25">
      <c r="A300" s="427" t="s">
        <v>70</v>
      </c>
      <c r="B300" s="451" t="s">
        <v>93</v>
      </c>
      <c r="C300" s="226" t="s">
        <v>253</v>
      </c>
      <c r="D300" s="227"/>
      <c r="E300" s="253"/>
      <c r="F300" s="228" t="str">
        <f>IF(E300="","",IF('Quantification Tool'!B$8="Mountains",IF(E300&gt;6.52,0,IF(E300&lt;3.3,1,ROUND(IF(E300&gt;5.62,E300*'Performance Standards'!AL$15+'Performance Standards'!AL$16, E300^2*'Performance Standards'!AK$15+E300*'Performance Standards'!AK$16+'Performance Standards'!AK$17),2))),IF('Quantification Tool'!B$8="Piedmont",IF(E300&gt;6.91,0, IF(E300&lt;4.31,1, ROUND(IF(E300&gt;5.85, E300*'Performance Standards'!$AL$49+'Performance Standards'!$AL$50, E300^2*'Performance Standards'!AK$49+E300*'Performance Standards'!AK$50+'Performance Standards'!AK$51),2))))))</f>
        <v/>
      </c>
      <c r="G300" s="460" t="str">
        <f>IFERROR(AVERAGE(F300:F301),"")</f>
        <v/>
      </c>
      <c r="H300" s="424" t="str">
        <f>IFERROR(ROUND(AVERAGE(G300:G302),2),"")</f>
        <v/>
      </c>
      <c r="I300" s="425" t="str">
        <f>IF(H300="","",IF(H300&gt;0.69,"Functioning",IF(H300&gt;0.29,"Functioning At Risk",IF(H300&gt;-1,"Not Functioning"))))</f>
        <v/>
      </c>
      <c r="J300" s="423"/>
      <c r="K300" s="423"/>
      <c r="L300" s="21"/>
    </row>
    <row r="301" spans="1:12" ht="15.75" x14ac:dyDescent="0.25">
      <c r="A301" s="428"/>
      <c r="B301" s="452"/>
      <c r="C301" s="229" t="s">
        <v>264</v>
      </c>
      <c r="D301" s="128"/>
      <c r="E301" s="305"/>
      <c r="F301" s="230" t="str">
        <f>IF(E301="","",ROUND(IF('Quantification Tool'!B$8="Mountains", IF(E301&lt;11,0,IF(E301&gt;35,1,E301^3*'Performance Standards'!AK$83+E301^2*'Performance Standards'!AK$84+E301*'Performance Standards'!AK$85+'Performance Standards'!AK$86)),IF('Quantification Tool'!B$8 = "Piedmont", IF(E301&lt;7,0,IF(E301&gt;27,1,E301^3*'Performance Standards'!AK$116+E301^2*'Performance Standards'!AK$117+E301*'Performance Standards'!AK$118+'Performance Standards'!AK$119)), IF('Quantification Tool'!B$8="Coastal Plain",IF(E301&lt;6,0,IF(E301&gt;23,1,E301^3*'Performance Standards'!AK$151+E301^2*'Performance Standards'!AK$152+E301*'Performance Standards'!AK$153+'Performance Standards'!AK$154))))),2))</f>
        <v/>
      </c>
      <c r="G301" s="461"/>
      <c r="H301" s="424"/>
      <c r="I301" s="425"/>
      <c r="J301" s="423"/>
      <c r="K301" s="423"/>
      <c r="L301" s="21"/>
    </row>
    <row r="302" spans="1:12" ht="15.75" x14ac:dyDescent="0.25">
      <c r="A302" s="429"/>
      <c r="B302" s="278" t="s">
        <v>146</v>
      </c>
      <c r="C302" s="128" t="s">
        <v>147</v>
      </c>
      <c r="D302" s="128"/>
      <c r="E302" s="305"/>
      <c r="F302" s="130" t="str">
        <f>IF(E302="","",IF(OR('Quantification Tool'!$B$15="French Broad",'Quantification Tool'!$B$15="Hiwassee",'Quantification Tool'!$B$15="Little Tennessee",'Quantification Tool'!$B$15="New",'Quantification Tool'!$B$15="Watauga"),IF(E302&lt;22,0,IF(E302&gt;=60,1,ROUND(E302*'Performance Standards'!$AK$185+'Performance Standards'!$AK$186,2))),IF(OR('Quantification Tool'!$B$15="Broad",'Quantification Tool'!$B$15="Catawba",'Quantification Tool'!$B$15="Savannah",'Quantification Tool'!$B$15="Yadkin-PeeDee"),IF(E302&lt;27,0,IF(E302&gt;=60,1,ROUND(E302^2*'Performance Standards'!$AK$219+E302*'Performance Standards'!$AK$220+'Performance Standards'!$AK$221,2))),IF(OR('Quantification Tool'!$B$15="Cape Fear",'Quantification Tool'!$B$15="Neuse",'Quantification Tool'!$B$15="Roanoke",'Quantification Tool'!$B$15="Tar-Pamlico"),IF(E302&lt;26,0,IF(E302&gt;=60,1,ROUND(E302^2*'Performance Standards'!$AK$253+E302*'Performance Standards'!$AK$254+'Performance Standards'!$AK$255,2)))))))</f>
        <v/>
      </c>
      <c r="G302" s="162" t="str">
        <f>IFERROR(AVERAGE(F302),"")</f>
        <v/>
      </c>
      <c r="H302" s="424"/>
      <c r="I302" s="425"/>
      <c r="J302" s="423"/>
      <c r="K302" s="423"/>
      <c r="L302" s="21"/>
    </row>
    <row r="303" spans="1:12" x14ac:dyDescent="0.25">
      <c r="L303" s="21"/>
    </row>
    <row r="304" spans="1:12" x14ac:dyDescent="0.25">
      <c r="L304" s="21"/>
    </row>
    <row r="305" spans="1:12" ht="21" x14ac:dyDescent="0.35">
      <c r="A305" s="323" t="s">
        <v>371</v>
      </c>
      <c r="B305" s="324"/>
      <c r="C305" s="325" t="s">
        <v>372</v>
      </c>
      <c r="D305" s="324"/>
      <c r="E305" s="326"/>
      <c r="F305" s="327"/>
      <c r="G305" s="433" t="s">
        <v>18</v>
      </c>
      <c r="H305" s="434"/>
      <c r="I305" s="434"/>
      <c r="J305" s="434"/>
      <c r="K305" s="435"/>
      <c r="L305" s="21"/>
    </row>
    <row r="306" spans="1:12" ht="15.75" x14ac:dyDescent="0.25">
      <c r="A306" s="280" t="s">
        <v>1</v>
      </c>
      <c r="B306" s="280" t="s">
        <v>2</v>
      </c>
      <c r="C306" s="462" t="s">
        <v>3</v>
      </c>
      <c r="D306" s="464"/>
      <c r="E306" s="280" t="s">
        <v>15</v>
      </c>
      <c r="F306" s="280" t="s">
        <v>16</v>
      </c>
      <c r="G306" s="280" t="s">
        <v>19</v>
      </c>
      <c r="H306" s="280" t="s">
        <v>20</v>
      </c>
      <c r="I306" s="280" t="s">
        <v>20</v>
      </c>
      <c r="J306" s="280" t="s">
        <v>21</v>
      </c>
      <c r="K306" s="95" t="s">
        <v>21</v>
      </c>
    </row>
    <row r="307" spans="1:12" ht="15.75" x14ac:dyDescent="0.25">
      <c r="A307" s="447" t="s">
        <v>78</v>
      </c>
      <c r="B307" s="279" t="s">
        <v>177</v>
      </c>
      <c r="C307" s="257" t="s">
        <v>329</v>
      </c>
      <c r="D307" s="97"/>
      <c r="E307" s="253"/>
      <c r="F307" s="260" t="str">
        <f>IF(E307="","",IF(E307&gt;78,0,IF(E307&lt;30,1,ROUND('Performance Standards'!C$14*E307^2+'Performance Standards'!C$15*E307+'Performance Standards'!C$16,2))))</f>
        <v/>
      </c>
      <c r="G307" s="157" t="str">
        <f>IFERROR(AVERAGE(F307),"")</f>
        <v/>
      </c>
      <c r="H307" s="492" t="str">
        <f>IFERROR(ROUND(AVERAGE(G307:G310),2),"")</f>
        <v/>
      </c>
      <c r="I307" s="425" t="str">
        <f>IF(H307="","",IF(H307&gt;0.69,"Functioning",IF(H307&gt;0.29,"Functioning At Risk",IF(H307&gt;-1,"Not Functioning"))))</f>
        <v/>
      </c>
      <c r="J307" s="423" t="str">
        <f>IF(AND(H307="",H311="",H313="",H332="",H338=""),"",ROUND((IF(H307="",0,H307)*0.2)+(IF(H311="",0,H311)*0.2)+(IF(H313="",0,H313)*0.2)+(IF(H332="",0,H332)*0.2)+(IF(H338="",0,H338)*0.2),2))</f>
        <v/>
      </c>
      <c r="K307" s="423" t="str">
        <f>IF(J307="","",IF(J307&lt;0.3, "Not Functioning",IF(OR(H307&lt;0.7,H311&lt;0.7,H313&lt;0.7,H332&lt;0.7,H338&lt;0.7),"Functioning At Risk",IF(J307&lt;0.7,"Functioning At Risk","Functioning"))))</f>
        <v/>
      </c>
    </row>
    <row r="308" spans="1:12" ht="15.75" x14ac:dyDescent="0.25">
      <c r="A308" s="448"/>
      <c r="B308" s="489" t="s">
        <v>328</v>
      </c>
      <c r="C308" s="257" t="s">
        <v>329</v>
      </c>
      <c r="D308" s="256"/>
      <c r="E308" s="253"/>
      <c r="F308" s="260" t="str">
        <f>IF(E308="","",IF(E308&gt;78,0,IF(E308&lt;30,1,ROUND('Performance Standards'!C$14*E308^2+'Performance Standards'!C$15*E308+'Performance Standards'!C$16,2))))</f>
        <v/>
      </c>
      <c r="G308" s="486" t="str">
        <f>IFERROR(AVERAGE(F308:F310),"")</f>
        <v/>
      </c>
      <c r="H308" s="493"/>
      <c r="I308" s="425"/>
      <c r="J308" s="423"/>
      <c r="K308" s="423"/>
    </row>
    <row r="309" spans="1:12" ht="15.75" x14ac:dyDescent="0.25">
      <c r="A309" s="448"/>
      <c r="B309" s="490"/>
      <c r="C309" s="258" t="s">
        <v>330</v>
      </c>
      <c r="D309" s="97"/>
      <c r="E309" s="304"/>
      <c r="F309" s="98" t="str">
        <f>IF(E309="","",IF(E309&gt;3,0,IF(E309=0,1,ROUND('Performance Standards'!C$48*E309+'Performance Standards'!C$49,2))))</f>
        <v/>
      </c>
      <c r="G309" s="487"/>
      <c r="H309" s="493"/>
      <c r="I309" s="425"/>
      <c r="J309" s="423"/>
      <c r="K309" s="423"/>
    </row>
    <row r="310" spans="1:12" ht="15.75" x14ac:dyDescent="0.25">
      <c r="A310" s="448"/>
      <c r="B310" s="491"/>
      <c r="C310" s="259" t="s">
        <v>331</v>
      </c>
      <c r="D310" s="101"/>
      <c r="E310" s="305"/>
      <c r="F310" s="255" t="str">
        <f>IF(E310="","",IF(E310&gt;=30,1,ROUND('Performance Standards'!$C$83*E310^2+'Performance Standards'!$C$84*E310+'Performance Standards'!$C$85,2)))</f>
        <v/>
      </c>
      <c r="G310" s="488"/>
      <c r="H310" s="493"/>
      <c r="I310" s="425"/>
      <c r="J310" s="423"/>
      <c r="K310" s="423"/>
    </row>
    <row r="311" spans="1:12" ht="15.75" x14ac:dyDescent="0.25">
      <c r="A311" s="445" t="s">
        <v>6</v>
      </c>
      <c r="B311" s="445" t="s">
        <v>7</v>
      </c>
      <c r="C311" s="102" t="s">
        <v>8</v>
      </c>
      <c r="D311" s="102"/>
      <c r="E311" s="304"/>
      <c r="F311" s="103" t="str">
        <f>IF(E311="","",ROUND(IF(E311&gt;1.6,0,IF(E311&lt;=1,1,E311^2*'Performance Standards'!K$14+E311*'Performance Standards'!K$15+'Performance Standards'!K$16)),2))</f>
        <v/>
      </c>
      <c r="G311" s="449" t="str">
        <f>IFERROR(AVERAGE(F311:F312),"")</f>
        <v/>
      </c>
      <c r="H311" s="449" t="str">
        <f>IFERROR(ROUND(AVERAGE(G311),2),"")</f>
        <v/>
      </c>
      <c r="I311" s="436" t="str">
        <f>IF(H311="","",IF(H311&gt;0.69,"Functioning",IF(H311&gt;0.29,"Functioning At Risk",IF(H311&gt;-1,"Not Functioning"))))</f>
        <v/>
      </c>
      <c r="J311" s="423"/>
      <c r="K311" s="423"/>
    </row>
    <row r="312" spans="1:12" ht="15.75" x14ac:dyDescent="0.25">
      <c r="A312" s="446"/>
      <c r="B312" s="446"/>
      <c r="C312" s="104" t="s">
        <v>9</v>
      </c>
      <c r="D312" s="104"/>
      <c r="E312" s="305"/>
      <c r="F312" s="105" t="str">
        <f>IF(E312="","",IF(OR('Quantification Tool'!B$7="A",'Quantification Tool'!B$7="B", 'Quantification Tool'!B$7="Bc"),IF(E312&lt;1.2,0,IF(E312&gt;=2.2,1,ROUND(IF(E312&lt;1.4,E312*'Performance Standards'!$K$84+'Performance Standards'!$K$85,E312*'Performance Standards'!$L$84+'Performance Standards'!$L$85),2))),IF(OR('Quantification Tool'!B$7="C",'Quantification Tool'!B$7="E"),IF(E312&lt;2,0,IF(E312&gt;=5,1,ROUND(IF(E312&lt;2.4,E312*'Performance Standards'!$L$49+'Performance Standards'!$L$50,E312*'Performance Standards'!$K$49+'Performance Standards'!$K$50),2))))))</f>
        <v/>
      </c>
      <c r="G312" s="450"/>
      <c r="H312" s="450"/>
      <c r="I312" s="437"/>
      <c r="J312" s="423"/>
      <c r="K312" s="423"/>
    </row>
    <row r="313" spans="1:12" ht="15.75" x14ac:dyDescent="0.25">
      <c r="A313" s="439" t="s">
        <v>30</v>
      </c>
      <c r="B313" s="439" t="s">
        <v>31</v>
      </c>
      <c r="C313" s="111" t="s">
        <v>27</v>
      </c>
      <c r="D313" s="318"/>
      <c r="E313" s="253"/>
      <c r="F313" s="132" t="str">
        <f>IF(E313="","",IF(E313&gt;700,1,IF(E313&lt;300,ROUND('Performance Standards'!$S$14*(E313^2)+'Performance Standards'!$S$15*E313+'Performance Standards'!$S$16,2),ROUND('Performance Standards'!$T$15*E313+'Performance Standards'!$T$16,2))))</f>
        <v/>
      </c>
      <c r="G313" s="441" t="str">
        <f>IFERROR(AVERAGE(F313:F314),"")</f>
        <v/>
      </c>
      <c r="H313" s="438" t="str">
        <f>IFERROR(ROUND(AVERAGE(G313:G331),2),"")</f>
        <v/>
      </c>
      <c r="I313" s="423" t="str">
        <f>IF(H313="","",IF(H313&gt;0.69,"Functioning",IF(H313&gt;0.29,"Functioning At Risk",IF(H313&gt;-1,"Not Functioning"))))</f>
        <v/>
      </c>
      <c r="J313" s="423"/>
      <c r="K313" s="423"/>
    </row>
    <row r="314" spans="1:12" ht="15.75" x14ac:dyDescent="0.25">
      <c r="A314" s="443"/>
      <c r="B314" s="440"/>
      <c r="C314" s="113" t="s">
        <v>369</v>
      </c>
      <c r="D314" s="317"/>
      <c r="E314" s="305"/>
      <c r="F314" s="319" t="str">
        <f>IF(E314="","",IF(E314&gt;30,1,IF(E314&lt;16,ROUND('Performance Standards'!$S$48*(E314^2)+'Performance Standards'!$S$49*E314+'Performance Standards'!$S$50,2),ROUND('Performance Standards'!$T$49*E314+'Performance Standards'!$T$50,2))))</f>
        <v/>
      </c>
      <c r="G314" s="442"/>
      <c r="H314" s="438"/>
      <c r="I314" s="423"/>
      <c r="J314" s="423"/>
      <c r="K314" s="423"/>
    </row>
    <row r="315" spans="1:12" ht="15.75" x14ac:dyDescent="0.25">
      <c r="A315" s="443"/>
      <c r="B315" s="443" t="s">
        <v>54</v>
      </c>
      <c r="C315" s="111" t="s">
        <v>156</v>
      </c>
      <c r="D315" s="114"/>
      <c r="E315" s="253"/>
      <c r="F315" s="109" t="str">
        <f>IF(E315="","",ROUND(IF(E315&gt;0.7,0,IF(E315&lt;=0.1,1,E315^3*'Performance Standards'!S$83+E315^2*'Performance Standards'!S$84+E315*'Performance Standards'!S$85+'Performance Standards'!S$86)),2))</f>
        <v/>
      </c>
      <c r="G315" s="444" t="str">
        <f>IFERROR(IF(E315="",AVERAGE(F316:F317),IF(E316="",F315,MIN(F315,AVERAGE(F316:F317)))),"")</f>
        <v/>
      </c>
      <c r="H315" s="438"/>
      <c r="I315" s="423"/>
      <c r="J315" s="423"/>
      <c r="K315" s="423"/>
    </row>
    <row r="316" spans="1:12" ht="15.75" x14ac:dyDescent="0.25">
      <c r="A316" s="443"/>
      <c r="B316" s="443"/>
      <c r="C316" s="112" t="s">
        <v>55</v>
      </c>
      <c r="D316" s="108"/>
      <c r="E316" s="304"/>
      <c r="F316" s="109" t="str">
        <f>IF(E316="","",IF(OR(E316="Ex/Ex",E316="Ex/VH"),0, IF(OR(E316="Ex/H",E316="VH/Ex",E316="VH/VH", E316="H/Ex",E316="H/VH",E316="M/Ex"),0.1,IF(OR(E316="Ex/M",E316="VH/H",E316="H/H", E316="M/VH"),0.2, IF(OR(E316="Ex/L",E316="VH/M",E316="H/M", E316="M/H",E316="L/Ex"),0.3, IF(OR(E316="Ex/VL",E316="VH/L",E316="H/L"),0.4, IF(OR(E316="VH/VL",E316="H/VL",E316="M/M", E316="L/VH"),0.5, IF(OR(E316="M/L",E316="L/H"),0.6, IF(OR(E316="M/VL",E316="L/M"),0.7, IF(OR(E316="L/L",E316="L/VL"),1))))))))))</f>
        <v/>
      </c>
      <c r="G316" s="444"/>
      <c r="H316" s="438"/>
      <c r="I316" s="423"/>
      <c r="J316" s="423"/>
      <c r="K316" s="423"/>
    </row>
    <row r="317" spans="1:12" ht="15.75" x14ac:dyDescent="0.25">
      <c r="A317" s="443"/>
      <c r="B317" s="443"/>
      <c r="C317" s="113" t="s">
        <v>192</v>
      </c>
      <c r="D317" s="116"/>
      <c r="E317" s="305"/>
      <c r="F317" s="118" t="str">
        <f>IF(E317="","",ROUND(IF(E317&gt;40,0,IF(E317&lt;5,1,E317^3*'Performance Standards'!S$118+E317^2*'Performance Standards'!S$119+E317*'Performance Standards'!S$120+'Performance Standards'!S$121)),2))</f>
        <v/>
      </c>
      <c r="G317" s="444"/>
      <c r="H317" s="438"/>
      <c r="I317" s="423"/>
      <c r="J317" s="423"/>
      <c r="K317" s="423"/>
    </row>
    <row r="318" spans="1:12" ht="15.75" x14ac:dyDescent="0.25">
      <c r="A318" s="443"/>
      <c r="B318" s="439" t="s">
        <v>56</v>
      </c>
      <c r="C318" s="114" t="s">
        <v>242</v>
      </c>
      <c r="D318" s="114"/>
      <c r="E318" s="253"/>
      <c r="F318" s="132" t="str">
        <f>IF(E318="","",ROUND(IF(E318&gt;90,1,E318^2*'Performance Standards'!S$153+E318*'Performance Standards'!S$154+'Performance Standards'!S$155),2))</f>
        <v/>
      </c>
      <c r="G318" s="441" t="str">
        <f>IFERROR(AVERAGE(F318:F325),"")</f>
        <v/>
      </c>
      <c r="H318" s="438"/>
      <c r="I318" s="423"/>
      <c r="J318" s="423"/>
      <c r="K318" s="423"/>
    </row>
    <row r="319" spans="1:12" ht="15.75" x14ac:dyDescent="0.25">
      <c r="A319" s="443"/>
      <c r="B319" s="443"/>
      <c r="C319" s="108" t="s">
        <v>243</v>
      </c>
      <c r="D319" s="108"/>
      <c r="E319" s="304"/>
      <c r="F319" s="109" t="str">
        <f>IF(E319="","",ROUND(IF(E319&gt;90,1,E319^2*'Performance Standards'!S$153+E319*'Performance Standards'!S$154+'Performance Standards'!S$155),2))</f>
        <v/>
      </c>
      <c r="G319" s="444"/>
      <c r="H319" s="438"/>
      <c r="I319" s="423"/>
      <c r="J319" s="423"/>
      <c r="K319" s="423"/>
    </row>
    <row r="320" spans="1:12" ht="15.75" x14ac:dyDescent="0.25">
      <c r="A320" s="443"/>
      <c r="B320" s="443"/>
      <c r="C320" s="108" t="s">
        <v>170</v>
      </c>
      <c r="D320" s="108"/>
      <c r="E320" s="304"/>
      <c r="F320" s="109" t="str">
        <f>IF(E320="","",ROUND(IF(OR('Quantification Tool'!B$7="A",'Quantification Tool'!B$7="B",'Quantification Tool'!B$7="Bc"),IF(E320&gt;=50,1, IF(E320&lt;30, E320*'Performance Standards'!S$188+'Performance Standards'!S$189, E320*'Performance Standards'!T$188+'Performance Standards'!T$189)), IF(E320&gt;=150,1,IF(E320&lt;48, E320^2*'Performance Standards'!S$222+E320*'Performance Standards'!S$223+'Performance Standards'!S$224, E320*'Performance Standards'!T$223+'Performance Standards'!T$224))),2))</f>
        <v/>
      </c>
      <c r="G320" s="444"/>
      <c r="H320" s="438"/>
      <c r="I320" s="423"/>
      <c r="J320" s="423"/>
      <c r="K320" s="423"/>
    </row>
    <row r="321" spans="1:13" ht="15.75" x14ac:dyDescent="0.25">
      <c r="A321" s="443"/>
      <c r="B321" s="443"/>
      <c r="C321" s="108" t="s">
        <v>171</v>
      </c>
      <c r="D321" s="108"/>
      <c r="E321" s="304"/>
      <c r="F321" s="109" t="str">
        <f>IF(E321="","",ROUND(IF(OR('Quantification Tool'!B$7="A",'Quantification Tool'!B$7="B",'Quantification Tool'!B$7="Bc"),IF(E321&gt;=50,1, IF(E321&lt;30, E321*'Performance Standards'!S$188+'Performance Standards'!S$189, E321*'Performance Standards'!T$188+'Performance Standards'!T$189)), IF(E321&gt;=150,1,IF(E321&lt;48, E321^2*'Performance Standards'!S$222+E321*'Performance Standards'!S$223+'Performance Standards'!S$224, E321*'Performance Standards'!T$223+'Performance Standards'!T$224))),2))</f>
        <v/>
      </c>
      <c r="G321" s="444"/>
      <c r="H321" s="438"/>
      <c r="I321" s="423"/>
      <c r="J321" s="423"/>
      <c r="K321" s="423"/>
    </row>
    <row r="322" spans="1:13" ht="15.75" x14ac:dyDescent="0.25">
      <c r="A322" s="443"/>
      <c r="B322" s="443"/>
      <c r="C322" s="108" t="s">
        <v>251</v>
      </c>
      <c r="D322" s="108"/>
      <c r="E322" s="304"/>
      <c r="F322" s="109" t="str">
        <f>IF(E322="","",ROUND(IF(E322&gt;100,1,E322^2*'Performance Standards'!S$255+E322*'Performance Standards'!S$256+'Performance Standards'!S$257),2))</f>
        <v/>
      </c>
      <c r="G322" s="444"/>
      <c r="H322" s="438"/>
      <c r="I322" s="423"/>
      <c r="J322" s="423"/>
      <c r="K322" s="423"/>
    </row>
    <row r="323" spans="1:13" ht="15.75" x14ac:dyDescent="0.25">
      <c r="A323" s="443"/>
      <c r="B323" s="443"/>
      <c r="C323" s="108" t="s">
        <v>252</v>
      </c>
      <c r="D323" s="108"/>
      <c r="E323" s="304"/>
      <c r="F323" s="109" t="str">
        <f>IF(E323="","",ROUND(IF(E323&gt;100,1,E323^2*'Performance Standards'!S$255+E323*'Performance Standards'!S$256+'Performance Standards'!S$257),2))</f>
        <v/>
      </c>
      <c r="G323" s="444"/>
      <c r="H323" s="438"/>
      <c r="I323" s="423"/>
      <c r="J323" s="423"/>
      <c r="K323" s="423"/>
    </row>
    <row r="324" spans="1:13" ht="15.75" x14ac:dyDescent="0.25">
      <c r="A324" s="443"/>
      <c r="B324" s="443"/>
      <c r="C324" s="112" t="s">
        <v>342</v>
      </c>
      <c r="D324" s="108"/>
      <c r="E324" s="304"/>
      <c r="F324" s="109" t="str">
        <f>IF(E324="","",ROUND(IF(E324&gt;=260,0.5,E324*'Performance Standards'!S$288+'Performance Standards'!S$289),2))</f>
        <v/>
      </c>
      <c r="G324" s="444"/>
      <c r="H324" s="438"/>
      <c r="I324" s="423"/>
      <c r="J324" s="423"/>
      <c r="K324" s="423"/>
      <c r="M324" s="21"/>
    </row>
    <row r="325" spans="1:13" ht="15.75" x14ac:dyDescent="0.25">
      <c r="A325" s="443"/>
      <c r="B325" s="440"/>
      <c r="C325" s="113" t="s">
        <v>343</v>
      </c>
      <c r="D325" s="108"/>
      <c r="E325" s="304"/>
      <c r="F325" s="219" t="str">
        <f>IF(E325="","",ROUND(IF(E325&gt;=260,0.5,E325*'Performance Standards'!S$288+'Performance Standards'!S$289),2))</f>
        <v/>
      </c>
      <c r="G325" s="442"/>
      <c r="H325" s="438"/>
      <c r="I325" s="423"/>
      <c r="J325" s="423"/>
      <c r="K325" s="423"/>
    </row>
    <row r="326" spans="1:13" ht="15.75" x14ac:dyDescent="0.25">
      <c r="A326" s="443"/>
      <c r="B326" s="106" t="s">
        <v>254</v>
      </c>
      <c r="C326" s="131" t="s">
        <v>345</v>
      </c>
      <c r="D326" s="107"/>
      <c r="E326" s="87"/>
      <c r="F326" s="109" t="str">
        <f>IF(E326="","",IF('Quantification Tool'!B$10="Gravel",IF(E326&gt;0.1,1,IF(E326&lt;=0.01,0,ROUND(E326*'Performance Standards'!$S$323+'Performance Standards'!$S$324,2)))))</f>
        <v/>
      </c>
      <c r="G326" s="155" t="str">
        <f>IFERROR(AVERAGE(F326),"")</f>
        <v/>
      </c>
      <c r="H326" s="438"/>
      <c r="I326" s="423"/>
      <c r="J326" s="423"/>
      <c r="K326" s="423"/>
    </row>
    <row r="327" spans="1:13" ht="15.75" x14ac:dyDescent="0.25">
      <c r="A327" s="443"/>
      <c r="B327" s="439" t="s">
        <v>57</v>
      </c>
      <c r="C327" s="111" t="s">
        <v>58</v>
      </c>
      <c r="D327" s="114"/>
      <c r="E327" s="253"/>
      <c r="F327" s="310" t="str">
        <f>IF(E327="","",IF('Quantification Tool'!B$13&gt;=4,IF(AND(E327&lt;=5,E327&gt;=0.1),1,IF(OR(E327&lt;0.1,E327&gt;8),0,ROUND(E327*'Performance Standards'!$S$357+'Performance Standards'!$S$358,2))), IF(AND('Quantification Tool'!B$9&gt;=10,OR('Quantification Tool'!B$7="C",'Quantification Tool'!B$7="E")),IF(OR(E327&lt;3,E327&gt;8),0,IF(AND(E327&gt;=4,E327&lt;=7),1,ROUND(E327^2*'Performance Standards'!$S$389+E327*'Performance Standards'!$S$390+'Performance Standards'!$S$391,2))),  IF(AND('Quantification Tool'!B$9&lt;10,OR('Quantification Tool'!B$7="C",'Quantification Tool'!B$7="E")),IF(OR(E327&lt;3,E327&gt;7),0,IF(E327&lt;4,ROUND(E327*'Performance Standards'!$S$423+'Performance Standards'!$S$424,2), IF(E327&gt;5, ROUND(E327*'Performance Standards'!$T$423+'Performance Standards'!T$424,2),1))),IF(OR(AND('Quantification Tool'!B$13&lt;2,'Quantification Tool'!B$7="Bc"),AND('Quantification Tool'!B$13&gt;=2,'Quantification Tool'!B$13&lt;=4,'Quantification Tool'!B$7="B")),ROUND(IF(E327&gt;8,0,IF(E327&lt;=0.6,1,E327^2*'Performance Standards'!$S$455+E327*'Performance Standards'!$S$456+'Performance Standards'!$S$457)),2))))))</f>
        <v/>
      </c>
      <c r="G327" s="441" t="str">
        <f>IFERROR(AVERAGE(F327:F330),"")</f>
        <v/>
      </c>
      <c r="H327" s="438"/>
      <c r="I327" s="423"/>
      <c r="J327" s="423"/>
      <c r="K327" s="423"/>
    </row>
    <row r="328" spans="1:13" ht="15.75" x14ac:dyDescent="0.25">
      <c r="A328" s="443"/>
      <c r="B328" s="443"/>
      <c r="C328" s="112" t="s">
        <v>59</v>
      </c>
      <c r="D328" s="108"/>
      <c r="E328" s="304"/>
      <c r="F328" s="311" t="str">
        <f>IF(E328="","",IF(E328&lt;=1.1,0,IF(OR('Quantification Tool'!B$7="A", 'Quantification Tool'!B$7="B", 'Quantification Tool'!B$7="Bc"),IF(E328&gt;1.74,1,ROUND(IF(E328&lt;1.2,E328*'Performance Standards'!S$556+'Performance Standards'!S$557,E328*'Performance Standards'!T$556+'Performance Standards'!T$557),2)),IF(OR('Quantification Tool'!B$7="C", 'Quantification Tool'!B$7="E"),IF('Quantification Tool'!B$10="Gravel",IF(E328&gt;1.74,1,ROUND(IF(E328&lt;1.2,E328*'Performance Standards'!S$489+'Performance Standards'!S$490,E328*'Performance Standards'!T$489+'Performance Standards'!T$490),2)),IF('Quantification Tool'!B$10="Sand",IF(E328&gt;=1.25,1,ROUND(E328^2*'Performance Standards'!S$521+E328*'Performance Standards'!S$522+'Performance Standards'!S$523,2))))))))</f>
        <v/>
      </c>
      <c r="G328" s="444"/>
      <c r="H328" s="438"/>
      <c r="I328" s="423"/>
      <c r="J328" s="423"/>
      <c r="K328" s="423"/>
    </row>
    <row r="329" spans="1:13" ht="15.75" x14ac:dyDescent="0.25">
      <c r="A329" s="443"/>
      <c r="B329" s="443"/>
      <c r="C329" s="112" t="s">
        <v>62</v>
      </c>
      <c r="D329" s="108"/>
      <c r="E329" s="304"/>
      <c r="F329" s="312" t="str">
        <f>IF(E329="","",IF('Quantification Tool'!B$13="","Need Slope",IF('Quantification Tool'!B$13&lt;3,ROUND(IF(OR(E329&gt;83,E329&lt;32),0, IF(E329&lt;60,E329*'Performance Standards'!S$591+'Performance Standards'!S$592,IF(E329&gt;70,E329^2*'Performance Standards'!T$590+E329*'Performance Standards'!T$591+'Performance Standards'!T$592,1))),2),IF('Quantification Tool'!B$13&gt;10,ROUND(IF(E329&gt;=80,1,IF(E329&lt;67,0,E329^2*'Performance Standards'!S$657+E329*'Performance Standards'!S$658+'Performance Standards'!S$659)),2),IF(OR(E329&gt;76, E329&lt;34),0,IF(AND(E329&gt;49,E329&lt;61),1,ROUND(IF(E329&lt;50,E329*'Performance Standards'!S$625+'Performance Standards'!S$626,E329*'Performance Standards'!T$625+'Performance Standards'!T$626),2)))))))</f>
        <v/>
      </c>
      <c r="G329" s="444"/>
      <c r="H329" s="438"/>
      <c r="I329" s="423"/>
      <c r="J329" s="423"/>
      <c r="K329" s="423"/>
    </row>
    <row r="330" spans="1:13" ht="15.75" x14ac:dyDescent="0.25">
      <c r="A330" s="443"/>
      <c r="B330" s="440"/>
      <c r="C330" s="116" t="s">
        <v>363</v>
      </c>
      <c r="D330" s="116"/>
      <c r="E330" s="305"/>
      <c r="F330" s="117" t="str">
        <f>IF(E330="","",IF(E330&gt;=1.6,0,IF(E330&lt;=1,1,ROUND('Performance Standards'!$S$689*E330^3+'Performance Standards'!$S$690*E330^2+'Performance Standards'!$S$691*E330+'Performance Standards'!$S$692,2))))</f>
        <v/>
      </c>
      <c r="G330" s="442"/>
      <c r="H330" s="438"/>
      <c r="I330" s="423"/>
      <c r="J330" s="423"/>
      <c r="K330" s="423"/>
    </row>
    <row r="331" spans="1:13" ht="15.75" x14ac:dyDescent="0.25">
      <c r="A331" s="440"/>
      <c r="B331" s="320" t="s">
        <v>64</v>
      </c>
      <c r="C331" s="116" t="s">
        <v>63</v>
      </c>
      <c r="D331" s="116"/>
      <c r="E331" s="305"/>
      <c r="F331" s="118" t="str">
        <f>IF(E331="","",IF(AND('Quantification Tool'!B$7="E",'Quantification Tool'!$B$10="Sand",'Quantification Tool'!$B$18="Unconfined Alluvial"),ROUND(IF(OR(E331&gt;1.8,E331&lt;1.3),0,IF(E331&lt;=1.6,1,E331*'Performance Standards'!$S$723+'Performance Standards'!$S$724)),2),    IF('Quantification Tool'!$B$18="Unconfined Alluvial",ROUND(IF(OR(E331&lt;1.2, E331&gt;1.5),0,IF(E331&lt;=1.4,1,E331*'Performance Standards'!$S$756+'Performance Standards'!$S$757)),2), IF('Quantification Tool'!$B$18="Confined Alluvial",ROUND(IF(E331&lt;1.15,0,IF(E331&lt;=1.4,E331*'Performance Standards'!$S$785+'Performance Standards'!$S$786,1)),2),  IF('Quantification Tool'!$B$18="Colluvial",ROUND(IF(E331&gt;1.3,0,IF(E331&gt;1.2,E331*'Performance Standards'!$S$815+'Performance Standards'!$S$816,1)),2) )))))</f>
        <v/>
      </c>
      <c r="G331" s="158" t="str">
        <f>IFERROR(AVERAGE(F331),"")</f>
        <v/>
      </c>
      <c r="H331" s="438"/>
      <c r="I331" s="423"/>
      <c r="J331" s="423"/>
      <c r="K331" s="423"/>
      <c r="L331" s="13"/>
    </row>
    <row r="332" spans="1:13" ht="15.75" x14ac:dyDescent="0.25">
      <c r="A332" s="431" t="s">
        <v>68</v>
      </c>
      <c r="B332" s="122" t="s">
        <v>161</v>
      </c>
      <c r="C332" s="133" t="s">
        <v>438</v>
      </c>
      <c r="D332" s="123"/>
      <c r="E332" s="87"/>
      <c r="F332" s="124" t="str">
        <f>IF(E332="","",IF('Quantification Tool'!$B$16="Coldwater",IF(E332&gt;77,0,IF(E332&lt;59,1,ROUND(E332*'Performance Standards'!$AB$15+'Performance Standards'!$AB$16,2))),IF('Quantification Tool'!$B$16="Coolwater",IF(E332&gt;97,0,IF(E332&lt;67,1,ROUND(E332*'Performance Standards'!$AC$15+'Performance Standards'!$AC$16,2))))))</f>
        <v/>
      </c>
      <c r="G332" s="159" t="str">
        <f>IFERROR(AVERAGE(F332),"")</f>
        <v/>
      </c>
      <c r="H332" s="426" t="str">
        <f>IFERROR(ROUND(AVERAGE(G332:G337),2),"")</f>
        <v/>
      </c>
      <c r="I332" s="425" t="str">
        <f>IF(H332="","",IF(H332&gt;0.69,"Functioning",IF(H332&gt;0.29,"Functioning At Risk",IF(H332&gt;-1,"Not Functioning"))))</f>
        <v/>
      </c>
      <c r="J332" s="423"/>
      <c r="K332" s="423"/>
      <c r="L332" s="13"/>
    </row>
    <row r="333" spans="1:13" ht="15.75" x14ac:dyDescent="0.25">
      <c r="A333" s="430"/>
      <c r="B333" s="277" t="s">
        <v>194</v>
      </c>
      <c r="C333" s="127" t="s">
        <v>197</v>
      </c>
      <c r="D333" s="120"/>
      <c r="E333" s="304"/>
      <c r="F333" s="121" t="str">
        <f>IF(E333="","",ROUND(IF(E333&gt;=284,0,E333*'Performance Standards'!AB$116+'Performance Standards'!AB$117),2))</f>
        <v/>
      </c>
      <c r="G333" s="159" t="str">
        <f>IFERROR(AVERAGE(F333),"")</f>
        <v/>
      </c>
      <c r="H333" s="426"/>
      <c r="I333" s="425"/>
      <c r="J333" s="423"/>
      <c r="K333" s="423"/>
      <c r="L333" s="21"/>
    </row>
    <row r="334" spans="1:13" ht="15.75" x14ac:dyDescent="0.25">
      <c r="A334" s="430"/>
      <c r="B334" s="430" t="s">
        <v>195</v>
      </c>
      <c r="C334" s="263" t="s">
        <v>92</v>
      </c>
      <c r="D334" s="215"/>
      <c r="E334" s="253"/>
      <c r="F334" s="134" t="str">
        <f>IF(E334="","",IF(OR(E334&lt;0.5,E334&gt;2), 0, ROUND(IF(E334&lt;0.75, E334*'Performance Standards'!$AB$153+'Performance Standards'!$AB$154, IF(E334&lt;=1.33, E334*'Performance Standards'!$AC$153+'Performance Standards'!$AC$154,E334*'Performance Standards'!$AD$153+'Performance Standards'!$AD$154)),2)))</f>
        <v/>
      </c>
      <c r="G334" s="456" t="str">
        <f>IFERROR(AVERAGE(F334:F335),"")</f>
        <v/>
      </c>
      <c r="H334" s="426"/>
      <c r="I334" s="425"/>
      <c r="J334" s="423"/>
      <c r="K334" s="423"/>
      <c r="L334" s="21"/>
    </row>
    <row r="335" spans="1:13" ht="15.75" x14ac:dyDescent="0.25">
      <c r="A335" s="430"/>
      <c r="B335" s="430"/>
      <c r="C335" s="135" t="s">
        <v>193</v>
      </c>
      <c r="D335" s="127"/>
      <c r="E335" s="305"/>
      <c r="F335" s="121" t="str">
        <f>IF(E335="","",IF('Quantification Tool'!$B$8 = "Mountains", IF('Quantification Tool'!$B$9 &lt;=5, IF( 'Quantification Tool'!$B$17= "Winter/Spring", ROUND(IF(E335&gt;=23,1,E335*'Performance Standards'!$AB$188+'Performance Standards'!$AB$189),2), IF('Quantification Tool'!$B$17= "Summer", ROUND(IF(E335&gt;=21,1,E335*'Performance Standards'!$AC$188),2), IF('Quantification Tool'!$B$17= "Fall", ROUND(IF(E335&gt;=18,1,E335*'Performance Standards'!$AD$188),2)))), IF('Quantification Tool'!$B$9&lt;10, IF('Quantification Tool'!$B$17= "Winter/Spring", ROUND(IF(E335&gt;16,1,E335*'Performance Standards'!$AB$222),2),IF('Quantification Tool'!$B$17= "Summer",ROUND(IF(E335&gt;14,1,E335*'Performance Standards'!$AC$222),2), IF('Quantification Tool'!$B$17= "Fall",ROUND(IF(E335&gt;12,1,E335*'Performance Standards'!$AD$222),2)))), IF('Quantification Tool'!$B$17= "Winter/Spring", ROUND(IF(E335&gt;14,1,E335*'Performance Standards'!$AB$256),2),IF('Quantification Tool'!$B$17= "Summer",ROUND(IF(E335&gt;16,1,E335*'Performance Standards'!$AC$256),2), IF('Quantification Tool'!$B$17= "Fall",ROUND(IF(E335&gt;15,1,E335*'Performance Standards'!$AD$256),2)))))), IF('Quantification Tool'!$B$8 = "Piedmont",  IF('Quantification Tool'!$B$9 &lt;=5, IF( 'Quantification Tool'!$B$17= "Winter/Spring", ROUND(IF(E335&gt;=18,1,E335*'Performance Standards'!$AB$290),2), IF('Quantification Tool'!$B$17= "Summer", ROUND(IF(E335&gt;=12,1,E335*'Performance Standards'!$AC$290),2), IF('Quantification Tool'!$B$17= "Fall", ROUND(IF(E335&gt;=14,1,E335*'Performance Standards'!$AD$290),2)))), IF('Quantification Tool'!$B$9&lt;10, IF('Quantification Tool'!$B$17= "Winter/Spring", ROUND(IF(E335&gt;12,1,E335*'Performance Standards'!$AB$326),2),IF('Quantification Tool'!$B$17= "Summer",ROUND(IF(E335&gt;5,1,E335*'Performance Standards'!$AC$326),2), IF('Quantification Tool'!$B$17= "Fall",ROUND(IF(E335&gt;8,1,E335*'Performance Standards'!$AD$326),2)))), IF('Quantification Tool'!$B$17= "Winter/Spring", ROUND(IF(E335&gt;8,1,E335*'Performance Standards'!$AB$360),2),IF('Quantification Tool'!$B$17= "Summer",ROUND(IF(E335&gt;7,1,E335*'Performance Standards'!$AC$360),2), IF('Quantification Tool'!$B$17= "Fall",ROUND(IF(E335&gt;8,1,E335*'Performance Standards'!$AD$360),2)))))),IF('Quantification Tool'!$B$8 = "Coastal Plain", IF('Quantification Tool'!$B$9 &lt;=5, IF( 'Quantification Tool'!$B$17= "Winter/Spring", ROUND(IF(E335&gt;=33,1,E335*'Performance Standards'!$AB$392),2), IF('Quantification Tool'!$B$17= "Summer", ROUND(IF(E335&gt;=14,1,E335*'Performance Standards'!$AC$392),2), IF('Quantification Tool'!$B$17= "Fall", ROUND(IF(E335&gt;=25,1,E335*'Performance Standards'!$AD$392),2)))), IF('Quantification Tool'!$B$9&lt;10, IF('Quantification Tool'!$B$17= "Winter/Spring", ROUND(IF(E335&gt;20,1,E335*'Performance Standards'!$AB$424),2),IF('Quantification Tool'!$B$17= "Summer",ROUND(IF(E335&gt;13,1,E335*'Performance Standards'!$AC$424),2), IF('Quantification Tool'!$B$17= "Fall",ROUND(IF(E335&gt;12,1,E335*'Performance Standards'!$AD$424),2)))), IF('Quantification Tool'!$B$17= "Winter/Spring", ROUND(IF(E335&gt;17,1,E335*'Performance Standards'!$AB$458),2),IF('Quantification Tool'!$B$17= "Summer",ROUND(IF(E335&gt;16,1,E335*'Performance Standards'!$AC$458),2), IF('Quantification Tool'!$B$17= "Fall",ROUND(IF(E335&gt;8,1,E335*'Performance Standards'!$AD$458),2))))))))))</f>
        <v/>
      </c>
      <c r="G335" s="457"/>
      <c r="H335" s="426"/>
      <c r="I335" s="425"/>
      <c r="J335" s="423"/>
      <c r="K335" s="423"/>
      <c r="L335" s="21"/>
    </row>
    <row r="336" spans="1:13" ht="15.75" x14ac:dyDescent="0.25">
      <c r="A336" s="430"/>
      <c r="B336" s="122" t="s">
        <v>162</v>
      </c>
      <c r="C336" s="377" t="s">
        <v>446</v>
      </c>
      <c r="D336" s="123"/>
      <c r="E336" s="304"/>
      <c r="F336" s="125" t="str">
        <f>IF(E336="","",IF(E336&gt;4,0,ROUND(E336^2*'Performance Standards'!$AB$488+E336*'Performance Standards'!$AB$489+'Performance Standards'!$AB$490,2)))</f>
        <v/>
      </c>
      <c r="G336" s="161" t="str">
        <f>IFERROR(AVERAGE(F336),"")</f>
        <v/>
      </c>
      <c r="H336" s="426"/>
      <c r="I336" s="425"/>
      <c r="J336" s="423"/>
      <c r="K336" s="423"/>
      <c r="L336" s="21"/>
    </row>
    <row r="337" spans="1:12" ht="15.75" x14ac:dyDescent="0.25">
      <c r="A337" s="432"/>
      <c r="B337" s="277" t="s">
        <v>163</v>
      </c>
      <c r="C337" s="377" t="s">
        <v>447</v>
      </c>
      <c r="D337" s="120"/>
      <c r="E337" s="253"/>
      <c r="F337" s="121" t="str">
        <f>IF(E337="","",IF(E337&gt;0.23,0,ROUND(E337^2*'Performance Standards'!$AB$521+E337*'Performance Standards'!$AB$522+'Performance Standards'!$AB$523,2)))</f>
        <v/>
      </c>
      <c r="G337" s="159" t="str">
        <f>IFERROR(AVERAGE(F337),"")</f>
        <v/>
      </c>
      <c r="H337" s="426"/>
      <c r="I337" s="425"/>
      <c r="J337" s="423"/>
      <c r="K337" s="423"/>
      <c r="L337" s="21"/>
    </row>
    <row r="338" spans="1:12" ht="15.75" x14ac:dyDescent="0.25">
      <c r="A338" s="427" t="s">
        <v>70</v>
      </c>
      <c r="B338" s="451" t="s">
        <v>93</v>
      </c>
      <c r="C338" s="226" t="s">
        <v>253</v>
      </c>
      <c r="D338" s="227"/>
      <c r="E338" s="253"/>
      <c r="F338" s="228" t="str">
        <f>IF(E338="","",IF('Quantification Tool'!B$8="Mountains",IF(E338&gt;6.52,0,IF(E338&lt;3.3,1,ROUND(IF(E338&gt;5.62,E338*'Performance Standards'!AL$15+'Performance Standards'!AL$16, E338^2*'Performance Standards'!AK$15+E338*'Performance Standards'!AK$16+'Performance Standards'!AK$17),2))),IF('Quantification Tool'!B$8="Piedmont",IF(E338&gt;6.91,0, IF(E338&lt;4.31,1, ROUND(IF(E338&gt;5.85, E338*'Performance Standards'!$AL$49+'Performance Standards'!$AL$50, E338^2*'Performance Standards'!AK$49+E338*'Performance Standards'!AK$50+'Performance Standards'!AK$51),2))))))</f>
        <v/>
      </c>
      <c r="G338" s="460" t="str">
        <f>IFERROR(AVERAGE(F338:F339),"")</f>
        <v/>
      </c>
      <c r="H338" s="424" t="str">
        <f>IFERROR(ROUND(AVERAGE(G338:G340),2),"")</f>
        <v/>
      </c>
      <c r="I338" s="425" t="str">
        <f>IF(H338="","",IF(H338&gt;0.69,"Functioning",IF(H338&gt;0.29,"Functioning At Risk",IF(H338&gt;-1,"Not Functioning"))))</f>
        <v/>
      </c>
      <c r="J338" s="423"/>
      <c r="K338" s="423"/>
      <c r="L338" s="21"/>
    </row>
    <row r="339" spans="1:12" ht="15.75" x14ac:dyDescent="0.25">
      <c r="A339" s="428"/>
      <c r="B339" s="452"/>
      <c r="C339" s="229" t="s">
        <v>264</v>
      </c>
      <c r="D339" s="128"/>
      <c r="E339" s="305"/>
      <c r="F339" s="230" t="str">
        <f>IF(E339="","",ROUND(IF('Quantification Tool'!B$8="Mountains", IF(E339&lt;11,0,IF(E339&gt;35,1,E339^3*'Performance Standards'!AK$83+E339^2*'Performance Standards'!AK$84+E339*'Performance Standards'!AK$85+'Performance Standards'!AK$86)),IF('Quantification Tool'!B$8 = "Piedmont", IF(E339&lt;7,0,IF(E339&gt;27,1,E339^3*'Performance Standards'!AK$116+E339^2*'Performance Standards'!AK$117+E339*'Performance Standards'!AK$118+'Performance Standards'!AK$119)), IF('Quantification Tool'!B$8="Coastal Plain",IF(E339&lt;6,0,IF(E339&gt;23,1,E339^3*'Performance Standards'!AK$151+E339^2*'Performance Standards'!AK$152+E339*'Performance Standards'!AK$153+'Performance Standards'!AK$154))))),2))</f>
        <v/>
      </c>
      <c r="G339" s="461"/>
      <c r="H339" s="424"/>
      <c r="I339" s="425"/>
      <c r="J339" s="423"/>
      <c r="K339" s="423"/>
      <c r="L339" s="21"/>
    </row>
    <row r="340" spans="1:12" ht="15.75" x14ac:dyDescent="0.25">
      <c r="A340" s="429"/>
      <c r="B340" s="278" t="s">
        <v>146</v>
      </c>
      <c r="C340" s="128" t="s">
        <v>147</v>
      </c>
      <c r="D340" s="128"/>
      <c r="E340" s="305"/>
      <c r="F340" s="130" t="str">
        <f>IF(E340="","",IF(OR('Quantification Tool'!$B$15="French Broad",'Quantification Tool'!$B$15="Hiwassee",'Quantification Tool'!$B$15="Little Tennessee",'Quantification Tool'!$B$15="New",'Quantification Tool'!$B$15="Watauga"),IF(E340&lt;22,0,IF(E340&gt;=60,1,ROUND(E340*'Performance Standards'!$AK$185+'Performance Standards'!$AK$186,2))),IF(OR('Quantification Tool'!$B$15="Broad",'Quantification Tool'!$B$15="Catawba",'Quantification Tool'!$B$15="Savannah",'Quantification Tool'!$B$15="Yadkin-PeeDee"),IF(E340&lt;27,0,IF(E340&gt;=60,1,ROUND(E340^2*'Performance Standards'!$AK$219+E340*'Performance Standards'!$AK$220+'Performance Standards'!$AK$221,2))),IF(OR('Quantification Tool'!$B$15="Cape Fear",'Quantification Tool'!$B$15="Neuse",'Quantification Tool'!$B$15="Roanoke",'Quantification Tool'!$B$15="Tar-Pamlico"),IF(E340&lt;26,0,IF(E340&gt;=60,1,ROUND(E340^2*'Performance Standards'!$AK$253+E340*'Performance Standards'!$AK$254+'Performance Standards'!$AK$255,2)))))))</f>
        <v/>
      </c>
      <c r="G340" s="162" t="str">
        <f>IFERROR(AVERAGE(F340),"")</f>
        <v/>
      </c>
      <c r="H340" s="424"/>
      <c r="I340" s="425"/>
      <c r="J340" s="423"/>
      <c r="K340" s="423"/>
      <c r="L340" s="21"/>
    </row>
    <row r="341" spans="1:12" x14ac:dyDescent="0.25">
      <c r="L341" s="21"/>
    </row>
    <row r="342" spans="1:12" x14ac:dyDescent="0.25">
      <c r="L342" s="21"/>
    </row>
    <row r="343" spans="1:12" ht="21" x14ac:dyDescent="0.35">
      <c r="A343" s="323" t="s">
        <v>371</v>
      </c>
      <c r="B343" s="324"/>
      <c r="C343" s="325" t="s">
        <v>372</v>
      </c>
      <c r="D343" s="324"/>
      <c r="E343" s="326"/>
      <c r="F343" s="327"/>
      <c r="G343" s="433" t="s">
        <v>18</v>
      </c>
      <c r="H343" s="434"/>
      <c r="I343" s="434"/>
      <c r="J343" s="434"/>
      <c r="K343" s="435"/>
    </row>
    <row r="344" spans="1:12" ht="16.5" customHeight="1" x14ac:dyDescent="0.25">
      <c r="A344" s="280" t="s">
        <v>1</v>
      </c>
      <c r="B344" s="280" t="s">
        <v>2</v>
      </c>
      <c r="C344" s="462" t="s">
        <v>3</v>
      </c>
      <c r="D344" s="464"/>
      <c r="E344" s="280" t="s">
        <v>15</v>
      </c>
      <c r="F344" s="280" t="s">
        <v>16</v>
      </c>
      <c r="G344" s="280" t="s">
        <v>19</v>
      </c>
      <c r="H344" s="280" t="s">
        <v>20</v>
      </c>
      <c r="I344" s="280" t="s">
        <v>20</v>
      </c>
      <c r="J344" s="280" t="s">
        <v>21</v>
      </c>
      <c r="K344" s="95" t="s">
        <v>21</v>
      </c>
    </row>
    <row r="345" spans="1:12" ht="15.75" customHeight="1" x14ac:dyDescent="0.25">
      <c r="A345" s="447" t="s">
        <v>78</v>
      </c>
      <c r="B345" s="279" t="s">
        <v>177</v>
      </c>
      <c r="C345" s="257" t="s">
        <v>329</v>
      </c>
      <c r="D345" s="97"/>
      <c r="E345" s="253"/>
      <c r="F345" s="260" t="str">
        <f>IF(E345="","",IF(E345&gt;78,0,IF(E345&lt;30,1,ROUND('Performance Standards'!C$14*E345^2+'Performance Standards'!C$15*E345+'Performance Standards'!C$16,2))))</f>
        <v/>
      </c>
      <c r="G345" s="157" t="str">
        <f>IFERROR(AVERAGE(F345),"")</f>
        <v/>
      </c>
      <c r="H345" s="492" t="str">
        <f>IFERROR(ROUND(AVERAGE(G345:G348),2),"")</f>
        <v/>
      </c>
      <c r="I345" s="425" t="str">
        <f>IF(H345="","",IF(H345&gt;0.69,"Functioning",IF(H345&gt;0.29,"Functioning At Risk",IF(H345&gt;-1,"Not Functioning"))))</f>
        <v/>
      </c>
      <c r="J345" s="423" t="str">
        <f>IF(AND(H345="",H349="",H351="",H370="",H376=""),"",ROUND((IF(H345="",0,H345)*0.2)+(IF(H349="",0,H349)*0.2)+(IF(H351="",0,H351)*0.2)+(IF(H370="",0,H370)*0.2)+(IF(H376="",0,H376)*0.2),2))</f>
        <v/>
      </c>
      <c r="K345" s="423" t="str">
        <f>IF(J345="","",IF(J345&lt;0.3, "Not Functioning",IF(OR(H345&lt;0.7,H349&lt;0.7,H351&lt;0.7,H370&lt;0.7,H376&lt;0.7),"Functioning At Risk",IF(J345&lt;0.7,"Functioning At Risk","Functioning"))))</f>
        <v/>
      </c>
    </row>
    <row r="346" spans="1:12" ht="15.75" customHeight="1" x14ac:dyDescent="0.25">
      <c r="A346" s="448"/>
      <c r="B346" s="489" t="s">
        <v>328</v>
      </c>
      <c r="C346" s="257" t="s">
        <v>329</v>
      </c>
      <c r="D346" s="256"/>
      <c r="E346" s="253"/>
      <c r="F346" s="260" t="str">
        <f>IF(E346="","",IF(E346&gt;78,0,IF(E346&lt;30,1,ROUND('Performance Standards'!C$14*E346^2+'Performance Standards'!C$15*E346+'Performance Standards'!C$16,2))))</f>
        <v/>
      </c>
      <c r="G346" s="486" t="str">
        <f>IFERROR(AVERAGE(F346:F348),"")</f>
        <v/>
      </c>
      <c r="H346" s="493"/>
      <c r="I346" s="425"/>
      <c r="J346" s="423"/>
      <c r="K346" s="423"/>
    </row>
    <row r="347" spans="1:12" ht="15.75" customHeight="1" x14ac:dyDescent="0.25">
      <c r="A347" s="448"/>
      <c r="B347" s="490"/>
      <c r="C347" s="258" t="s">
        <v>330</v>
      </c>
      <c r="D347" s="97"/>
      <c r="E347" s="304"/>
      <c r="F347" s="98" t="str">
        <f>IF(E347="","",IF(E347&gt;3,0,IF(E347=0,1,ROUND('Performance Standards'!C$48*E347+'Performance Standards'!C$49,2))))</f>
        <v/>
      </c>
      <c r="G347" s="487"/>
      <c r="H347" s="493"/>
      <c r="I347" s="425"/>
      <c r="J347" s="423"/>
      <c r="K347" s="423"/>
    </row>
    <row r="348" spans="1:12" ht="15.75" customHeight="1" x14ac:dyDescent="0.25">
      <c r="A348" s="448"/>
      <c r="B348" s="491"/>
      <c r="C348" s="259" t="s">
        <v>331</v>
      </c>
      <c r="D348" s="101"/>
      <c r="E348" s="305"/>
      <c r="F348" s="255" t="str">
        <f>IF(E348="","",IF(E348&gt;=30,1,ROUND('Performance Standards'!$C$83*E348^2+'Performance Standards'!$C$84*E348+'Performance Standards'!$C$85,2)))</f>
        <v/>
      </c>
      <c r="G348" s="488"/>
      <c r="H348" s="493"/>
      <c r="I348" s="425"/>
      <c r="J348" s="423"/>
      <c r="K348" s="423"/>
    </row>
    <row r="349" spans="1:12" ht="15" customHeight="1" x14ac:dyDescent="0.25">
      <c r="A349" s="445" t="s">
        <v>6</v>
      </c>
      <c r="B349" s="445" t="s">
        <v>7</v>
      </c>
      <c r="C349" s="102" t="s">
        <v>8</v>
      </c>
      <c r="D349" s="102"/>
      <c r="E349" s="304"/>
      <c r="F349" s="103" t="str">
        <f>IF(E349="","",ROUND(IF(E349&gt;1.6,0,IF(E349&lt;=1,1,E349^2*'Performance Standards'!K$14+E349*'Performance Standards'!K$15+'Performance Standards'!K$16)),2))</f>
        <v/>
      </c>
      <c r="G349" s="449" t="str">
        <f>IFERROR(AVERAGE(F349:F350),"")</f>
        <v/>
      </c>
      <c r="H349" s="449" t="str">
        <f>IFERROR(ROUND(AVERAGE(G349),2),"")</f>
        <v/>
      </c>
      <c r="I349" s="436" t="str">
        <f>IF(H349="","",IF(H349&gt;0.69,"Functioning",IF(H349&gt;0.29,"Functioning At Risk",IF(H349&gt;-1,"Not Functioning"))))</f>
        <v/>
      </c>
      <c r="J349" s="423"/>
      <c r="K349" s="423"/>
    </row>
    <row r="350" spans="1:12" ht="15" customHeight="1" x14ac:dyDescent="0.25">
      <c r="A350" s="446"/>
      <c r="B350" s="446"/>
      <c r="C350" s="104" t="s">
        <v>9</v>
      </c>
      <c r="D350" s="104"/>
      <c r="E350" s="305"/>
      <c r="F350" s="105" t="str">
        <f>IF(E350="","",IF(OR('Quantification Tool'!B$7="A",'Quantification Tool'!B$7="B", 'Quantification Tool'!B$7="Bc"),IF(E350&lt;1.2,0,IF(E350&gt;=2.2,1,ROUND(IF(E350&lt;1.4,E350*'Performance Standards'!$K$84+'Performance Standards'!$K$85,E350*'Performance Standards'!$L$84+'Performance Standards'!$L$85),2))),IF(OR('Quantification Tool'!B$7="C",'Quantification Tool'!B$7="E"),IF(E350&lt;2,0,IF(E350&gt;=5,1,ROUND(IF(E350&lt;2.4,E350*'Performance Standards'!$L$49+'Performance Standards'!$L$50,E350*'Performance Standards'!$K$49+'Performance Standards'!$K$50),2))))))</f>
        <v/>
      </c>
      <c r="G350" s="450"/>
      <c r="H350" s="450"/>
      <c r="I350" s="437"/>
      <c r="J350" s="423"/>
      <c r="K350" s="423"/>
    </row>
    <row r="351" spans="1:12" ht="15" customHeight="1" x14ac:dyDescent="0.25">
      <c r="A351" s="439" t="s">
        <v>30</v>
      </c>
      <c r="B351" s="439" t="s">
        <v>31</v>
      </c>
      <c r="C351" s="111" t="s">
        <v>27</v>
      </c>
      <c r="D351" s="318"/>
      <c r="E351" s="253"/>
      <c r="F351" s="132" t="str">
        <f>IF(E351="","",IF(E351&gt;700,1,IF(E351&lt;300,ROUND('Performance Standards'!$S$14*(E351^2)+'Performance Standards'!$S$15*E351+'Performance Standards'!$S$16,2),ROUND('Performance Standards'!$T$15*E351+'Performance Standards'!$T$16,2))))</f>
        <v/>
      </c>
      <c r="G351" s="441" t="str">
        <f>IFERROR(AVERAGE(F351:F352),"")</f>
        <v/>
      </c>
      <c r="H351" s="438" t="str">
        <f>IFERROR(ROUND(AVERAGE(G351:G369),2),"")</f>
        <v/>
      </c>
      <c r="I351" s="423" t="str">
        <f>IF(H351="","",IF(H351&gt;0.69,"Functioning",IF(H351&gt;0.29,"Functioning At Risk",IF(H351&gt;-1,"Not Functioning"))))</f>
        <v/>
      </c>
      <c r="J351" s="423"/>
      <c r="K351" s="423"/>
    </row>
    <row r="352" spans="1:12" ht="15" customHeight="1" x14ac:dyDescent="0.25">
      <c r="A352" s="443"/>
      <c r="B352" s="440"/>
      <c r="C352" s="113" t="s">
        <v>369</v>
      </c>
      <c r="D352" s="317"/>
      <c r="E352" s="305"/>
      <c r="F352" s="319" t="str">
        <f>IF(E352="","",IF(E352&gt;30,1,IF(E352&lt;16,ROUND('Performance Standards'!$S$48*(E352^2)+'Performance Standards'!$S$49*E352+'Performance Standards'!$S$50,2),ROUND('Performance Standards'!$T$49*E352+'Performance Standards'!$T$50,2))))</f>
        <v/>
      </c>
      <c r="G352" s="442"/>
      <c r="H352" s="438"/>
      <c r="I352" s="423"/>
      <c r="J352" s="423"/>
      <c r="K352" s="423"/>
    </row>
    <row r="353" spans="1:12" ht="15.75" x14ac:dyDescent="0.25">
      <c r="A353" s="443"/>
      <c r="B353" s="443" t="s">
        <v>54</v>
      </c>
      <c r="C353" s="111" t="s">
        <v>156</v>
      </c>
      <c r="D353" s="114"/>
      <c r="E353" s="253"/>
      <c r="F353" s="109" t="str">
        <f>IF(E353="","",ROUND(IF(E353&gt;0.7,0,IF(E353&lt;=0.1,1,E353^3*'Performance Standards'!S$83+E353^2*'Performance Standards'!S$84+E353*'Performance Standards'!S$85+'Performance Standards'!S$86)),2))</f>
        <v/>
      </c>
      <c r="G353" s="444" t="str">
        <f>IFERROR(IF(E353="",AVERAGE(F354:F355),IF(E354="",F353,MIN(F353,AVERAGE(F354:F355)))),"")</f>
        <v/>
      </c>
      <c r="H353" s="438"/>
      <c r="I353" s="423"/>
      <c r="J353" s="423"/>
      <c r="K353" s="423"/>
    </row>
    <row r="354" spans="1:12" ht="15.75" x14ac:dyDescent="0.25">
      <c r="A354" s="443"/>
      <c r="B354" s="443"/>
      <c r="C354" s="112" t="s">
        <v>55</v>
      </c>
      <c r="D354" s="108"/>
      <c r="E354" s="304"/>
      <c r="F354" s="109" t="str">
        <f>IF(E354="","",IF(OR(E354="Ex/Ex",E354="Ex/VH"),0, IF(OR(E354="Ex/H",E354="VH/Ex",E354="VH/VH", E354="H/Ex",E354="H/VH",E354="M/Ex"),0.1,IF(OR(E354="Ex/M",E354="VH/H",E354="H/H", E354="M/VH"),0.2, IF(OR(E354="Ex/L",E354="VH/M",E354="H/M", E354="M/H",E354="L/Ex"),0.3, IF(OR(E354="Ex/VL",E354="VH/L",E354="H/L"),0.4, IF(OR(E354="VH/VL",E354="H/VL",E354="M/M", E354="L/VH"),0.5, IF(OR(E354="M/L",E354="L/H"),0.6, IF(OR(E354="M/VL",E354="L/M"),0.7, IF(OR(E354="L/L",E354="L/VL"),1))))))))))</f>
        <v/>
      </c>
      <c r="G354" s="444"/>
      <c r="H354" s="438"/>
      <c r="I354" s="423"/>
      <c r="J354" s="423"/>
      <c r="K354" s="423"/>
    </row>
    <row r="355" spans="1:12" ht="15.75" x14ac:dyDescent="0.25">
      <c r="A355" s="443"/>
      <c r="B355" s="443"/>
      <c r="C355" s="113" t="s">
        <v>192</v>
      </c>
      <c r="D355" s="116"/>
      <c r="E355" s="305"/>
      <c r="F355" s="118" t="str">
        <f>IF(E355="","",ROUND(IF(E355&gt;40,0,IF(E355&lt;5,1,E355^3*'Performance Standards'!S$118+E355^2*'Performance Standards'!S$119+E355*'Performance Standards'!S$120+'Performance Standards'!S$121)),2))</f>
        <v/>
      </c>
      <c r="G355" s="444"/>
      <c r="H355" s="438"/>
      <c r="I355" s="423"/>
      <c r="J355" s="423"/>
      <c r="K355" s="423"/>
    </row>
    <row r="356" spans="1:12" ht="15.75" x14ac:dyDescent="0.25">
      <c r="A356" s="443"/>
      <c r="B356" s="439" t="s">
        <v>56</v>
      </c>
      <c r="C356" s="114" t="s">
        <v>242</v>
      </c>
      <c r="D356" s="114"/>
      <c r="E356" s="253"/>
      <c r="F356" s="132" t="str">
        <f>IF(E356="","",ROUND(IF(E356&gt;90,1,E356^2*'Performance Standards'!S$153+E356*'Performance Standards'!S$154+'Performance Standards'!S$155),2))</f>
        <v/>
      </c>
      <c r="G356" s="441" t="str">
        <f>IFERROR(AVERAGE(F356:F363),"")</f>
        <v/>
      </c>
      <c r="H356" s="438"/>
      <c r="I356" s="423"/>
      <c r="J356" s="423"/>
      <c r="K356" s="423"/>
    </row>
    <row r="357" spans="1:12" ht="15.75" x14ac:dyDescent="0.25">
      <c r="A357" s="443"/>
      <c r="B357" s="443"/>
      <c r="C357" s="108" t="s">
        <v>243</v>
      </c>
      <c r="D357" s="108"/>
      <c r="E357" s="304"/>
      <c r="F357" s="109" t="str">
        <f>IF(E357="","",ROUND(IF(E357&gt;90,1,E357^2*'Performance Standards'!S$153+E357*'Performance Standards'!S$154+'Performance Standards'!S$155),2))</f>
        <v/>
      </c>
      <c r="G357" s="444"/>
      <c r="H357" s="438"/>
      <c r="I357" s="423"/>
      <c r="J357" s="423"/>
      <c r="K357" s="423"/>
    </row>
    <row r="358" spans="1:12" ht="15.75" x14ac:dyDescent="0.25">
      <c r="A358" s="443"/>
      <c r="B358" s="443"/>
      <c r="C358" s="108" t="s">
        <v>170</v>
      </c>
      <c r="D358" s="108"/>
      <c r="E358" s="304"/>
      <c r="F358" s="109" t="str">
        <f>IF(E358="","",ROUND(IF(OR('Quantification Tool'!B$7="A",'Quantification Tool'!B$7="B",'Quantification Tool'!B$7="Bc"),IF(E358&gt;=50,1, IF(E358&lt;30, E358*'Performance Standards'!S$188+'Performance Standards'!S$189, E358*'Performance Standards'!T$188+'Performance Standards'!T$189)), IF(E358&gt;=150,1,IF(E358&lt;48, E358^2*'Performance Standards'!S$222+E358*'Performance Standards'!S$223+'Performance Standards'!S$224, E358*'Performance Standards'!T$223+'Performance Standards'!T$224))),2))</f>
        <v/>
      </c>
      <c r="G358" s="444"/>
      <c r="H358" s="438"/>
      <c r="I358" s="423"/>
      <c r="J358" s="423"/>
      <c r="K358" s="423"/>
    </row>
    <row r="359" spans="1:12" ht="15.75" x14ac:dyDescent="0.25">
      <c r="A359" s="443"/>
      <c r="B359" s="443"/>
      <c r="C359" s="108" t="s">
        <v>171</v>
      </c>
      <c r="D359" s="108"/>
      <c r="E359" s="304"/>
      <c r="F359" s="109" t="str">
        <f>IF(E359="","",ROUND(IF(OR('Quantification Tool'!B$7="A",'Quantification Tool'!B$7="B",'Quantification Tool'!B$7="Bc"),IF(E359&gt;=50,1, IF(E359&lt;30, E359*'Performance Standards'!S$188+'Performance Standards'!S$189, E359*'Performance Standards'!T$188+'Performance Standards'!T$189)), IF(E359&gt;=150,1,IF(E359&lt;48, E359^2*'Performance Standards'!S$222+E359*'Performance Standards'!S$223+'Performance Standards'!S$224, E359*'Performance Standards'!T$223+'Performance Standards'!T$224))),2))</f>
        <v/>
      </c>
      <c r="G359" s="444"/>
      <c r="H359" s="438"/>
      <c r="I359" s="423"/>
      <c r="J359" s="423"/>
      <c r="K359" s="423"/>
    </row>
    <row r="360" spans="1:12" ht="15.75" x14ac:dyDescent="0.25">
      <c r="A360" s="443"/>
      <c r="B360" s="443"/>
      <c r="C360" s="108" t="s">
        <v>251</v>
      </c>
      <c r="D360" s="108"/>
      <c r="E360" s="304"/>
      <c r="F360" s="109" t="str">
        <f>IF(E360="","",ROUND(IF(E360&gt;100,1,E360^2*'Performance Standards'!S$255+E360*'Performance Standards'!S$256+'Performance Standards'!S$257),2))</f>
        <v/>
      </c>
      <c r="G360" s="444"/>
      <c r="H360" s="438"/>
      <c r="I360" s="423"/>
      <c r="J360" s="423"/>
      <c r="K360" s="423"/>
      <c r="L360" s="21"/>
    </row>
    <row r="361" spans="1:12" ht="15.75" x14ac:dyDescent="0.25">
      <c r="A361" s="443"/>
      <c r="B361" s="443"/>
      <c r="C361" s="108" t="s">
        <v>252</v>
      </c>
      <c r="D361" s="108"/>
      <c r="E361" s="304"/>
      <c r="F361" s="109" t="str">
        <f>IF(E361="","",ROUND(IF(E361&gt;100,1,E361^2*'Performance Standards'!S$255+E361*'Performance Standards'!S$256+'Performance Standards'!S$257),2))</f>
        <v/>
      </c>
      <c r="G361" s="444"/>
      <c r="H361" s="438"/>
      <c r="I361" s="423"/>
      <c r="J361" s="423"/>
      <c r="K361" s="423"/>
      <c r="L361" s="21"/>
    </row>
    <row r="362" spans="1:12" ht="15.75" x14ac:dyDescent="0.25">
      <c r="A362" s="443"/>
      <c r="B362" s="443"/>
      <c r="C362" s="112" t="s">
        <v>342</v>
      </c>
      <c r="D362" s="108"/>
      <c r="E362" s="304"/>
      <c r="F362" s="109" t="str">
        <f>IF(E362="","",ROUND(IF(E362&gt;=260,0.5,E362*'Performance Standards'!S$288+'Performance Standards'!S$289),2))</f>
        <v/>
      </c>
      <c r="G362" s="444"/>
      <c r="H362" s="438"/>
      <c r="I362" s="423"/>
      <c r="J362" s="423"/>
      <c r="K362" s="423"/>
      <c r="L362" s="21"/>
    </row>
    <row r="363" spans="1:12" ht="15.75" x14ac:dyDescent="0.25">
      <c r="A363" s="443"/>
      <c r="B363" s="440"/>
      <c r="C363" s="113" t="s">
        <v>343</v>
      </c>
      <c r="D363" s="108"/>
      <c r="E363" s="304"/>
      <c r="F363" s="219" t="str">
        <f>IF(E363="","",ROUND(IF(E363&gt;=260,0.5,E363*'Performance Standards'!S$288+'Performance Standards'!S$289),2))</f>
        <v/>
      </c>
      <c r="G363" s="442"/>
      <c r="H363" s="438"/>
      <c r="I363" s="423"/>
      <c r="J363" s="423"/>
      <c r="K363" s="423"/>
      <c r="L363" s="21"/>
    </row>
    <row r="364" spans="1:12" ht="15.75" x14ac:dyDescent="0.25">
      <c r="A364" s="443"/>
      <c r="B364" s="106" t="s">
        <v>254</v>
      </c>
      <c r="C364" s="131" t="s">
        <v>345</v>
      </c>
      <c r="D364" s="107"/>
      <c r="E364" s="87"/>
      <c r="F364" s="109" t="str">
        <f>IF(E364="","",IF('Quantification Tool'!B$10="Gravel",IF(E364&gt;0.1,1,IF(E364&lt;=0.01,0,ROUND(E364*'Performance Standards'!$S$323+'Performance Standards'!$S$324,2)))))</f>
        <v/>
      </c>
      <c r="G364" s="155" t="str">
        <f>IFERROR(AVERAGE(F364),"")</f>
        <v/>
      </c>
      <c r="H364" s="438"/>
      <c r="I364" s="423"/>
      <c r="J364" s="423"/>
      <c r="K364" s="423"/>
      <c r="L364" s="21"/>
    </row>
    <row r="365" spans="1:12" ht="15.75" x14ac:dyDescent="0.25">
      <c r="A365" s="443"/>
      <c r="B365" s="439" t="s">
        <v>57</v>
      </c>
      <c r="C365" s="111" t="s">
        <v>58</v>
      </c>
      <c r="D365" s="114"/>
      <c r="E365" s="253"/>
      <c r="F365" s="310" t="str">
        <f>IF(E365="","",IF('Quantification Tool'!B$13&gt;=4,IF(AND(E365&lt;=5,E365&gt;=0.1),1,IF(OR(E365&lt;0.1,E365&gt;8),0,ROUND(E365*'Performance Standards'!$S$357+'Performance Standards'!$S$358,2))), IF(AND('Quantification Tool'!B$9&gt;=10,OR('Quantification Tool'!B$7="C",'Quantification Tool'!B$7="E")),IF(OR(E365&lt;3,E365&gt;8),0,IF(AND(E365&gt;=4,E365&lt;=7),1,ROUND(E365^2*'Performance Standards'!$S$389+E365*'Performance Standards'!$S$390+'Performance Standards'!$S$391,2))),  IF(AND('Quantification Tool'!B$9&lt;10,OR('Quantification Tool'!B$7="C",'Quantification Tool'!B$7="E")),IF(OR(E365&lt;3,E365&gt;7),0,IF(E365&lt;4,ROUND(E365*'Performance Standards'!$S$423+'Performance Standards'!$S$424,2), IF(E365&gt;5, ROUND(E365*'Performance Standards'!$T$423+'Performance Standards'!T$424,2),1))),IF(OR(AND('Quantification Tool'!B$13&lt;2,'Quantification Tool'!B$7="Bc"),AND('Quantification Tool'!B$13&gt;=2,'Quantification Tool'!B$13&lt;=4,'Quantification Tool'!B$7="B")),ROUND(IF(E365&gt;8,0,IF(E365&lt;=0.6,1,E365^2*'Performance Standards'!$S$455+E365*'Performance Standards'!$S$456+'Performance Standards'!$S$457)),2))))))</f>
        <v/>
      </c>
      <c r="G365" s="441" t="str">
        <f>IFERROR(AVERAGE(F365:F368),"")</f>
        <v/>
      </c>
      <c r="H365" s="438"/>
      <c r="I365" s="423"/>
      <c r="J365" s="423"/>
      <c r="K365" s="423"/>
      <c r="L365" s="21"/>
    </row>
    <row r="366" spans="1:12" ht="15.75" x14ac:dyDescent="0.25">
      <c r="A366" s="443"/>
      <c r="B366" s="443"/>
      <c r="C366" s="112" t="s">
        <v>59</v>
      </c>
      <c r="D366" s="108"/>
      <c r="E366" s="304"/>
      <c r="F366" s="311" t="str">
        <f>IF(E366="","",IF(E366&lt;=1.1,0,IF(OR('Quantification Tool'!B$7="A", 'Quantification Tool'!B$7="B", 'Quantification Tool'!B$7="Bc"),IF(E366&gt;1.74,1,ROUND(IF(E366&lt;1.2,E366*'Performance Standards'!S$556+'Performance Standards'!S$557,E366*'Performance Standards'!T$556+'Performance Standards'!T$557),2)),IF(OR('Quantification Tool'!B$7="C", 'Quantification Tool'!B$7="E"),IF('Quantification Tool'!B$10="Gravel",IF(E366&gt;1.74,1,ROUND(IF(E366&lt;1.2,E366*'Performance Standards'!S$489+'Performance Standards'!S$490,E366*'Performance Standards'!T$489+'Performance Standards'!T$490),2)),IF('Quantification Tool'!B$10="Sand",IF(E366&gt;=1.25,1,ROUND(E366^2*'Performance Standards'!S$521+E366*'Performance Standards'!S$522+'Performance Standards'!S$523,2))))))))</f>
        <v/>
      </c>
      <c r="G366" s="444"/>
      <c r="H366" s="438"/>
      <c r="I366" s="423"/>
      <c r="J366" s="423"/>
      <c r="K366" s="423"/>
      <c r="L366" s="21"/>
    </row>
    <row r="367" spans="1:12" ht="15.75" x14ac:dyDescent="0.25">
      <c r="A367" s="443"/>
      <c r="B367" s="443"/>
      <c r="C367" s="112" t="s">
        <v>62</v>
      </c>
      <c r="D367" s="108"/>
      <c r="E367" s="304"/>
      <c r="F367" s="312" t="str">
        <f>IF(E367="","",IF('Quantification Tool'!B$13="","Need Slope",IF('Quantification Tool'!B$13&lt;3,ROUND(IF(OR(E367&gt;83,E367&lt;32),0, IF(E367&lt;60,E367*'Performance Standards'!S$591+'Performance Standards'!S$592,IF(E367&gt;70,E367^2*'Performance Standards'!T$590+E367*'Performance Standards'!T$591+'Performance Standards'!T$592,1))),2),IF('Quantification Tool'!B$13&gt;10,ROUND(IF(E367&gt;=80,1,IF(E367&lt;67,0,E367^2*'Performance Standards'!S$657+E367*'Performance Standards'!S$658+'Performance Standards'!S$659)),2),IF(OR(E367&gt;76, E367&lt;34),0,IF(AND(E367&gt;49,E367&lt;61),1,ROUND(IF(E367&lt;50,E367*'Performance Standards'!S$625+'Performance Standards'!S$626,E367*'Performance Standards'!T$625+'Performance Standards'!T$626),2)))))))</f>
        <v/>
      </c>
      <c r="G367" s="444"/>
      <c r="H367" s="438"/>
      <c r="I367" s="423"/>
      <c r="J367" s="423"/>
      <c r="K367" s="423"/>
      <c r="L367" s="21"/>
    </row>
    <row r="368" spans="1:12" ht="15.75" x14ac:dyDescent="0.25">
      <c r="A368" s="443"/>
      <c r="B368" s="440"/>
      <c r="C368" s="116" t="s">
        <v>363</v>
      </c>
      <c r="D368" s="116"/>
      <c r="E368" s="305"/>
      <c r="F368" s="117" t="str">
        <f>IF(E368="","",IF(E368&gt;=1.6,0,IF(E368&lt;=1,1,ROUND('Performance Standards'!$S$689*E368^3+'Performance Standards'!$S$690*E368^2+'Performance Standards'!$S$691*E368+'Performance Standards'!$S$692,2))))</f>
        <v/>
      </c>
      <c r="G368" s="442"/>
      <c r="H368" s="438"/>
      <c r="I368" s="423"/>
      <c r="J368" s="423"/>
      <c r="K368" s="423"/>
      <c r="L368" s="21"/>
    </row>
    <row r="369" spans="1:12" ht="15.75" x14ac:dyDescent="0.25">
      <c r="A369" s="440"/>
      <c r="B369" s="320" t="s">
        <v>64</v>
      </c>
      <c r="C369" s="116" t="s">
        <v>63</v>
      </c>
      <c r="D369" s="116"/>
      <c r="E369" s="305"/>
      <c r="F369" s="118" t="str">
        <f>IF(E369="","",IF(AND('Quantification Tool'!B$7="E",'Quantification Tool'!$B$10="Sand",'Quantification Tool'!$B$18="Unconfined Alluvial"),ROUND(IF(OR(E369&gt;1.8,E369&lt;1.3),0,IF(E369&lt;=1.6,1,E369*'Performance Standards'!$S$723+'Performance Standards'!$S$724)),2),    IF('Quantification Tool'!$B$18="Unconfined Alluvial",ROUND(IF(OR(E369&lt;1.2, E369&gt;1.5),0,IF(E369&lt;=1.4,1,E369*'Performance Standards'!$S$756+'Performance Standards'!$S$757)),2), IF('Quantification Tool'!$B$18="Confined Alluvial",ROUND(IF(E369&lt;1.15,0,IF(E369&lt;=1.4,E369*'Performance Standards'!$S$785+'Performance Standards'!$S$786,1)),2),  IF('Quantification Tool'!$B$18="Colluvial",ROUND(IF(E369&gt;1.3,0,IF(E369&gt;1.2,E369*'Performance Standards'!$S$815+'Performance Standards'!$S$816,1)),2) )))))</f>
        <v/>
      </c>
      <c r="G369" s="158" t="str">
        <f>IFERROR(AVERAGE(F369),"")</f>
        <v/>
      </c>
      <c r="H369" s="438"/>
      <c r="I369" s="423"/>
      <c r="J369" s="423"/>
      <c r="K369" s="423"/>
      <c r="L369" s="21"/>
    </row>
    <row r="370" spans="1:12" ht="15.75" x14ac:dyDescent="0.25">
      <c r="A370" s="431" t="s">
        <v>68</v>
      </c>
      <c r="B370" s="122" t="s">
        <v>161</v>
      </c>
      <c r="C370" s="133" t="s">
        <v>438</v>
      </c>
      <c r="D370" s="123"/>
      <c r="E370" s="87"/>
      <c r="F370" s="124" t="str">
        <f>IF(E370="","",IF('Quantification Tool'!$B$16="Coldwater",IF(E370&gt;77,0,IF(E370&lt;59,1,ROUND(E370*'Performance Standards'!$AB$15+'Performance Standards'!$AB$16,2))),IF('Quantification Tool'!$B$16="Coolwater",IF(E370&gt;97,0,IF(E370&lt;67,1,ROUND(E370*'Performance Standards'!$AC$15+'Performance Standards'!$AC$16,2))))))</f>
        <v/>
      </c>
      <c r="G370" s="159" t="str">
        <f>IFERROR(AVERAGE(F370),"")</f>
        <v/>
      </c>
      <c r="H370" s="426" t="str">
        <f>IFERROR(ROUND(AVERAGE(G370:G375),2),"")</f>
        <v/>
      </c>
      <c r="I370" s="425" t="str">
        <f>IF(H370="","",IF(H370&gt;0.69,"Functioning",IF(H370&gt;0.29,"Functioning At Risk",IF(H370&gt;-1,"Not Functioning"))))</f>
        <v/>
      </c>
      <c r="J370" s="423"/>
      <c r="K370" s="423"/>
      <c r="L370" s="21"/>
    </row>
    <row r="371" spans="1:12" ht="16.5" customHeight="1" x14ac:dyDescent="0.25">
      <c r="A371" s="430"/>
      <c r="B371" s="277" t="s">
        <v>194</v>
      </c>
      <c r="C371" s="127" t="s">
        <v>197</v>
      </c>
      <c r="D371" s="120"/>
      <c r="E371" s="304"/>
      <c r="F371" s="121" t="str">
        <f>IF(E371="","",ROUND(IF(E371&gt;=284,0,E371*'Performance Standards'!AB$116+'Performance Standards'!AB$117),2))</f>
        <v/>
      </c>
      <c r="G371" s="159" t="str">
        <f>IFERROR(AVERAGE(F371),"")</f>
        <v/>
      </c>
      <c r="H371" s="426"/>
      <c r="I371" s="425"/>
      <c r="J371" s="423"/>
      <c r="K371" s="423"/>
    </row>
    <row r="372" spans="1:12" ht="15.75" customHeight="1" x14ac:dyDescent="0.25">
      <c r="A372" s="430"/>
      <c r="B372" s="430" t="s">
        <v>195</v>
      </c>
      <c r="C372" s="263" t="s">
        <v>92</v>
      </c>
      <c r="D372" s="215"/>
      <c r="E372" s="253"/>
      <c r="F372" s="134" t="str">
        <f>IF(E372="","",IF(OR(E372&lt;0.5,E372&gt;2), 0, ROUND(IF(E372&lt;0.75, E372*'Performance Standards'!$AB$153+'Performance Standards'!$AB$154, IF(E372&lt;=1.33, E372*'Performance Standards'!$AC$153+'Performance Standards'!$AC$154,E372*'Performance Standards'!$AD$153+'Performance Standards'!$AD$154)),2)))</f>
        <v/>
      </c>
      <c r="G372" s="456" t="str">
        <f>IFERROR(AVERAGE(F372:F373),"")</f>
        <v/>
      </c>
      <c r="H372" s="426"/>
      <c r="I372" s="425"/>
      <c r="J372" s="423"/>
      <c r="K372" s="423"/>
    </row>
    <row r="373" spans="1:12" ht="15.75" customHeight="1" x14ac:dyDescent="0.25">
      <c r="A373" s="430"/>
      <c r="B373" s="430"/>
      <c r="C373" s="135" t="s">
        <v>193</v>
      </c>
      <c r="D373" s="127"/>
      <c r="E373" s="305"/>
      <c r="F373" s="121" t="str">
        <f>IF(E373="","",IF('Quantification Tool'!$B$8 = "Mountains", IF('Quantification Tool'!$B$9 &lt;=5, IF( 'Quantification Tool'!$B$17= "Winter/Spring", ROUND(IF(E373&gt;=23,1,E373*'Performance Standards'!$AB$188+'Performance Standards'!$AB$189),2), IF('Quantification Tool'!$B$17= "Summer", ROUND(IF(E373&gt;=21,1,E373*'Performance Standards'!$AC$188),2), IF('Quantification Tool'!$B$17= "Fall", ROUND(IF(E373&gt;=18,1,E373*'Performance Standards'!$AD$188),2)))), IF('Quantification Tool'!$B$9&lt;10, IF('Quantification Tool'!$B$17= "Winter/Spring", ROUND(IF(E373&gt;16,1,E373*'Performance Standards'!$AB$222),2),IF('Quantification Tool'!$B$17= "Summer",ROUND(IF(E373&gt;14,1,E373*'Performance Standards'!$AC$222),2), IF('Quantification Tool'!$B$17= "Fall",ROUND(IF(E373&gt;12,1,E373*'Performance Standards'!$AD$222),2)))), IF('Quantification Tool'!$B$17= "Winter/Spring", ROUND(IF(E373&gt;14,1,E373*'Performance Standards'!$AB$256),2),IF('Quantification Tool'!$B$17= "Summer",ROUND(IF(E373&gt;16,1,E373*'Performance Standards'!$AC$256),2), IF('Quantification Tool'!$B$17= "Fall",ROUND(IF(E373&gt;15,1,E373*'Performance Standards'!$AD$256),2)))))), IF('Quantification Tool'!$B$8 = "Piedmont",  IF('Quantification Tool'!$B$9 &lt;=5, IF( 'Quantification Tool'!$B$17= "Winter/Spring", ROUND(IF(E373&gt;=18,1,E373*'Performance Standards'!$AB$290),2), IF('Quantification Tool'!$B$17= "Summer", ROUND(IF(E373&gt;=12,1,E373*'Performance Standards'!$AC$290),2), IF('Quantification Tool'!$B$17= "Fall", ROUND(IF(E373&gt;=14,1,E373*'Performance Standards'!$AD$290),2)))), IF('Quantification Tool'!$B$9&lt;10, IF('Quantification Tool'!$B$17= "Winter/Spring", ROUND(IF(E373&gt;12,1,E373*'Performance Standards'!$AB$326),2),IF('Quantification Tool'!$B$17= "Summer",ROUND(IF(E373&gt;5,1,E373*'Performance Standards'!$AC$326),2), IF('Quantification Tool'!$B$17= "Fall",ROUND(IF(E373&gt;8,1,E373*'Performance Standards'!$AD$326),2)))), IF('Quantification Tool'!$B$17= "Winter/Spring", ROUND(IF(E373&gt;8,1,E373*'Performance Standards'!$AB$360),2),IF('Quantification Tool'!$B$17= "Summer",ROUND(IF(E373&gt;7,1,E373*'Performance Standards'!$AC$360),2), IF('Quantification Tool'!$B$17= "Fall",ROUND(IF(E373&gt;8,1,E373*'Performance Standards'!$AD$360),2)))))),IF('Quantification Tool'!$B$8 = "Coastal Plain", IF('Quantification Tool'!$B$9 &lt;=5, IF( 'Quantification Tool'!$B$17= "Winter/Spring", ROUND(IF(E373&gt;=33,1,E373*'Performance Standards'!$AB$392),2), IF('Quantification Tool'!$B$17= "Summer", ROUND(IF(E373&gt;=14,1,E373*'Performance Standards'!$AC$392),2), IF('Quantification Tool'!$B$17= "Fall", ROUND(IF(E373&gt;=25,1,E373*'Performance Standards'!$AD$392),2)))), IF('Quantification Tool'!$B$9&lt;10, IF('Quantification Tool'!$B$17= "Winter/Spring", ROUND(IF(E373&gt;20,1,E373*'Performance Standards'!$AB$424),2),IF('Quantification Tool'!$B$17= "Summer",ROUND(IF(E373&gt;13,1,E373*'Performance Standards'!$AC$424),2), IF('Quantification Tool'!$B$17= "Fall",ROUND(IF(E373&gt;12,1,E373*'Performance Standards'!$AD$424),2)))), IF('Quantification Tool'!$B$17= "Winter/Spring", ROUND(IF(E373&gt;17,1,E373*'Performance Standards'!$AB$458),2),IF('Quantification Tool'!$B$17= "Summer",ROUND(IF(E373&gt;16,1,E373*'Performance Standards'!$AC$458),2), IF('Quantification Tool'!$B$17= "Fall",ROUND(IF(E373&gt;8,1,E373*'Performance Standards'!$AD$458),2))))))))))</f>
        <v/>
      </c>
      <c r="G373" s="457"/>
      <c r="H373" s="426"/>
      <c r="I373" s="425"/>
      <c r="J373" s="423"/>
      <c r="K373" s="423"/>
    </row>
    <row r="374" spans="1:12" ht="15.75" customHeight="1" x14ac:dyDescent="0.25">
      <c r="A374" s="430"/>
      <c r="B374" s="122" t="s">
        <v>162</v>
      </c>
      <c r="C374" s="377" t="s">
        <v>446</v>
      </c>
      <c r="D374" s="123"/>
      <c r="E374" s="304"/>
      <c r="F374" s="125" t="str">
        <f>IF(E374="","",IF(E374&gt;4,0,ROUND(E374^2*'Performance Standards'!$AB$488+E374*'Performance Standards'!$AB$489+'Performance Standards'!$AB$490,2)))</f>
        <v/>
      </c>
      <c r="G374" s="161" t="str">
        <f>IFERROR(AVERAGE(F374),"")</f>
        <v/>
      </c>
      <c r="H374" s="426"/>
      <c r="I374" s="425"/>
      <c r="J374" s="423"/>
      <c r="K374" s="423"/>
    </row>
    <row r="375" spans="1:12" ht="15.75" customHeight="1" x14ac:dyDescent="0.25">
      <c r="A375" s="432"/>
      <c r="B375" s="277" t="s">
        <v>163</v>
      </c>
      <c r="C375" s="377" t="s">
        <v>447</v>
      </c>
      <c r="D375" s="120"/>
      <c r="E375" s="253"/>
      <c r="F375" s="121" t="str">
        <f>IF(E375="","",IF(E375&gt;0.23,0,ROUND(E375^2*'Performance Standards'!$AB$521+E375*'Performance Standards'!$AB$522+'Performance Standards'!$AB$523,2)))</f>
        <v/>
      </c>
      <c r="G375" s="159" t="str">
        <f>IFERROR(AVERAGE(F375),"")</f>
        <v/>
      </c>
      <c r="H375" s="426"/>
      <c r="I375" s="425"/>
      <c r="J375" s="423"/>
      <c r="K375" s="423"/>
    </row>
    <row r="376" spans="1:12" ht="15.75" x14ac:dyDescent="0.25">
      <c r="A376" s="427" t="s">
        <v>70</v>
      </c>
      <c r="B376" s="451" t="s">
        <v>93</v>
      </c>
      <c r="C376" s="226" t="s">
        <v>253</v>
      </c>
      <c r="D376" s="227"/>
      <c r="E376" s="253"/>
      <c r="F376" s="228" t="str">
        <f>IF(E376="","",IF('Quantification Tool'!B$8="Mountains",IF(E376&gt;6.52,0,IF(E376&lt;3.3,1,ROUND(IF(E376&gt;5.62,E376*'Performance Standards'!AL$15+'Performance Standards'!AL$16, E376^2*'Performance Standards'!AK$15+E376*'Performance Standards'!AK$16+'Performance Standards'!AK$17),2))),IF('Quantification Tool'!B$8="Piedmont",IF(E376&gt;6.91,0, IF(E376&lt;4.31,1, ROUND(IF(E376&gt;5.85, E376*'Performance Standards'!$AL$49+'Performance Standards'!$AL$50, E376^2*'Performance Standards'!AK$49+E376*'Performance Standards'!AK$50+'Performance Standards'!AK$51),2))))))</f>
        <v/>
      </c>
      <c r="G376" s="460" t="str">
        <f>IFERROR(AVERAGE(F376:F377),"")</f>
        <v/>
      </c>
      <c r="H376" s="424" t="str">
        <f>IFERROR(ROUND(AVERAGE(G376:G378),2),"")</f>
        <v/>
      </c>
      <c r="I376" s="425" t="str">
        <f>IF(H376="","",IF(H376&gt;0.69,"Functioning",IF(H376&gt;0.29,"Functioning At Risk",IF(H376&gt;-1,"Not Functioning"))))</f>
        <v/>
      </c>
      <c r="J376" s="423"/>
      <c r="K376" s="423"/>
    </row>
    <row r="377" spans="1:12" ht="15.75" x14ac:dyDescent="0.25">
      <c r="A377" s="428"/>
      <c r="B377" s="452"/>
      <c r="C377" s="229" t="s">
        <v>264</v>
      </c>
      <c r="D377" s="128"/>
      <c r="E377" s="305"/>
      <c r="F377" s="230" t="str">
        <f>IF(E377="","",ROUND(IF('Quantification Tool'!B$8="Mountains", IF(E377&lt;11,0,IF(E377&gt;35,1,E377^3*'Performance Standards'!AK$83+E377^2*'Performance Standards'!AK$84+E377*'Performance Standards'!AK$85+'Performance Standards'!AK$86)),IF('Quantification Tool'!B$8 = "Piedmont", IF(E377&lt;7,0,IF(E377&gt;27,1,E377^3*'Performance Standards'!AK$116+E377^2*'Performance Standards'!AK$117+E377*'Performance Standards'!AK$118+'Performance Standards'!AK$119)), IF('Quantification Tool'!B$8="Coastal Plain",IF(E377&lt;6,0,IF(E377&gt;23,1,E377^3*'Performance Standards'!AK$151+E377^2*'Performance Standards'!AK$152+E377*'Performance Standards'!AK$153+'Performance Standards'!AK$154))))),2))</f>
        <v/>
      </c>
      <c r="G377" s="461"/>
      <c r="H377" s="424"/>
      <c r="I377" s="425"/>
      <c r="J377" s="423"/>
      <c r="K377" s="423"/>
    </row>
    <row r="378" spans="1:12" ht="15.75" x14ac:dyDescent="0.25">
      <c r="A378" s="429"/>
      <c r="B378" s="278" t="s">
        <v>146</v>
      </c>
      <c r="C378" s="128" t="s">
        <v>147</v>
      </c>
      <c r="D378" s="128"/>
      <c r="E378" s="305"/>
      <c r="F378" s="130" t="str">
        <f>IF(E378="","",IF(OR('Quantification Tool'!$B$15="French Broad",'Quantification Tool'!$B$15="Hiwassee",'Quantification Tool'!$B$15="Little Tennessee",'Quantification Tool'!$B$15="New",'Quantification Tool'!$B$15="Watauga"),IF(E378&lt;22,0,IF(E378&gt;=60,1,ROUND(E378*'Performance Standards'!$AK$185+'Performance Standards'!$AK$186,2))),IF(OR('Quantification Tool'!$B$15="Broad",'Quantification Tool'!$B$15="Catawba",'Quantification Tool'!$B$15="Savannah",'Quantification Tool'!$B$15="Yadkin-PeeDee"),IF(E378&lt;27,0,IF(E378&gt;=60,1,ROUND(E378^2*'Performance Standards'!$AK$219+E378*'Performance Standards'!$AK$220+'Performance Standards'!$AK$221,2))),IF(OR('Quantification Tool'!$B$15="Cape Fear",'Quantification Tool'!$B$15="Neuse",'Quantification Tool'!$B$15="Roanoke",'Quantification Tool'!$B$15="Tar-Pamlico"),IF(E378&lt;26,0,IF(E378&gt;=60,1,ROUND(E378^2*'Performance Standards'!$AK$253+E378*'Performance Standards'!$AK$254+'Performance Standards'!$AK$255,2)))))))</f>
        <v/>
      </c>
      <c r="G378" s="162" t="str">
        <f>IFERROR(AVERAGE(F378),"")</f>
        <v/>
      </c>
      <c r="H378" s="424"/>
      <c r="I378" s="425"/>
      <c r="J378" s="423"/>
      <c r="K378" s="423"/>
    </row>
    <row r="379" spans="1:12" x14ac:dyDescent="0.25">
      <c r="L379" s="21"/>
    </row>
    <row r="380" spans="1:12" x14ac:dyDescent="0.25">
      <c r="L380" s="21"/>
    </row>
    <row r="381" spans="1:12" ht="21" x14ac:dyDescent="0.35">
      <c r="A381" s="323" t="s">
        <v>371</v>
      </c>
      <c r="B381" s="324"/>
      <c r="C381" s="325" t="s">
        <v>372</v>
      </c>
      <c r="D381" s="324"/>
      <c r="E381" s="326"/>
      <c r="F381" s="327"/>
      <c r="G381" s="433" t="s">
        <v>18</v>
      </c>
      <c r="H381" s="434"/>
      <c r="I381" s="434"/>
      <c r="J381" s="434"/>
      <c r="K381" s="435"/>
    </row>
    <row r="382" spans="1:12" ht="16.5" customHeight="1" x14ac:dyDescent="0.25">
      <c r="A382" s="280" t="s">
        <v>1</v>
      </c>
      <c r="B382" s="280" t="s">
        <v>2</v>
      </c>
      <c r="C382" s="462" t="s">
        <v>3</v>
      </c>
      <c r="D382" s="464"/>
      <c r="E382" s="280" t="s">
        <v>15</v>
      </c>
      <c r="F382" s="280" t="s">
        <v>16</v>
      </c>
      <c r="G382" s="280" t="s">
        <v>19</v>
      </c>
      <c r="H382" s="280" t="s">
        <v>20</v>
      </c>
      <c r="I382" s="280" t="s">
        <v>20</v>
      </c>
      <c r="J382" s="280" t="s">
        <v>21</v>
      </c>
      <c r="K382" s="95" t="s">
        <v>21</v>
      </c>
    </row>
    <row r="383" spans="1:12" ht="15.75" customHeight="1" x14ac:dyDescent="0.25">
      <c r="A383" s="447" t="s">
        <v>78</v>
      </c>
      <c r="B383" s="279" t="s">
        <v>177</v>
      </c>
      <c r="C383" s="257" t="s">
        <v>329</v>
      </c>
      <c r="D383" s="97"/>
      <c r="E383" s="253"/>
      <c r="F383" s="260" t="str">
        <f>IF(E383="","",IF(E383&gt;78,0,IF(E383&lt;30,1,ROUND('Performance Standards'!C$14*E383^2+'Performance Standards'!C$15*E383+'Performance Standards'!C$16,2))))</f>
        <v/>
      </c>
      <c r="G383" s="157" t="str">
        <f>IFERROR(AVERAGE(F383),"")</f>
        <v/>
      </c>
      <c r="H383" s="492" t="str">
        <f>IFERROR(ROUND(AVERAGE(G383:G386),2),"")</f>
        <v/>
      </c>
      <c r="I383" s="425" t="str">
        <f>IF(H383="","",IF(H383&gt;0.69,"Functioning",IF(H383&gt;0.29,"Functioning At Risk",IF(H383&gt;-1,"Not Functioning"))))</f>
        <v/>
      </c>
      <c r="J383" s="423" t="str">
        <f>IF(AND(H383="",H387="",H389="",H408="",H414=""),"",ROUND((IF(H383="",0,H383)*0.2)+(IF(H387="",0,H387)*0.2)+(IF(H389="",0,H389)*0.2)+(IF(H408="",0,H408)*0.2)+(IF(H414="",0,H414)*0.2),2))</f>
        <v/>
      </c>
      <c r="K383" s="423" t="str">
        <f>IF(J383="","",IF(J383&lt;0.3, "Not Functioning",IF(OR(H383&lt;0.7,H387&lt;0.7,H389&lt;0.7,H408&lt;0.7,H414&lt;0.7),"Functioning At Risk",IF(J383&lt;0.7,"Functioning At Risk","Functioning"))))</f>
        <v/>
      </c>
    </row>
    <row r="384" spans="1:12" ht="15.75" customHeight="1" x14ac:dyDescent="0.25">
      <c r="A384" s="448"/>
      <c r="B384" s="489" t="s">
        <v>328</v>
      </c>
      <c r="C384" s="257" t="s">
        <v>329</v>
      </c>
      <c r="D384" s="256"/>
      <c r="E384" s="253"/>
      <c r="F384" s="260" t="str">
        <f>IF(E384="","",IF(E384&gt;78,0,IF(E384&lt;30,1,ROUND('Performance Standards'!C$14*E384^2+'Performance Standards'!C$15*E384+'Performance Standards'!C$16,2))))</f>
        <v/>
      </c>
      <c r="G384" s="486" t="str">
        <f>IFERROR(AVERAGE(F384:F386),"")</f>
        <v/>
      </c>
      <c r="H384" s="493"/>
      <c r="I384" s="425"/>
      <c r="J384" s="423"/>
      <c r="K384" s="423"/>
    </row>
    <row r="385" spans="1:12" ht="15.75" customHeight="1" x14ac:dyDescent="0.25">
      <c r="A385" s="448"/>
      <c r="B385" s="490"/>
      <c r="C385" s="258" t="s">
        <v>330</v>
      </c>
      <c r="D385" s="97"/>
      <c r="E385" s="304"/>
      <c r="F385" s="98" t="str">
        <f>IF(E385="","",IF(E385&gt;3,0,IF(E385=0,1,ROUND('Performance Standards'!C$48*E385+'Performance Standards'!C$49,2))))</f>
        <v/>
      </c>
      <c r="G385" s="487"/>
      <c r="H385" s="493"/>
      <c r="I385" s="425"/>
      <c r="J385" s="423"/>
      <c r="K385" s="423"/>
    </row>
    <row r="386" spans="1:12" ht="15.75" customHeight="1" x14ac:dyDescent="0.25">
      <c r="A386" s="448"/>
      <c r="B386" s="491"/>
      <c r="C386" s="259" t="s">
        <v>331</v>
      </c>
      <c r="D386" s="101"/>
      <c r="E386" s="305"/>
      <c r="F386" s="255" t="str">
        <f>IF(E386="","",IF(E386&gt;=30,1,ROUND('Performance Standards'!$C$83*E386^2+'Performance Standards'!$C$84*E386+'Performance Standards'!$C$85,2)))</f>
        <v/>
      </c>
      <c r="G386" s="488"/>
      <c r="H386" s="493"/>
      <c r="I386" s="425"/>
      <c r="J386" s="423"/>
      <c r="K386" s="423"/>
    </row>
    <row r="387" spans="1:12" ht="15" customHeight="1" x14ac:dyDescent="0.25">
      <c r="A387" s="445" t="s">
        <v>6</v>
      </c>
      <c r="B387" s="445" t="s">
        <v>7</v>
      </c>
      <c r="C387" s="102" t="s">
        <v>8</v>
      </c>
      <c r="D387" s="102"/>
      <c r="E387" s="304"/>
      <c r="F387" s="103" t="str">
        <f>IF(E387="","",ROUND(IF(E387&gt;1.6,0,IF(E387&lt;=1,1,E387^2*'Performance Standards'!K$14+E387*'Performance Standards'!K$15+'Performance Standards'!K$16)),2))</f>
        <v/>
      </c>
      <c r="G387" s="449" t="str">
        <f>IFERROR(AVERAGE(F387:F388),"")</f>
        <v/>
      </c>
      <c r="H387" s="449" t="str">
        <f>IFERROR(ROUND(AVERAGE(G387),2),"")</f>
        <v/>
      </c>
      <c r="I387" s="436" t="str">
        <f>IF(H387="","",IF(H387&gt;0.69,"Functioning",IF(H387&gt;0.29,"Functioning At Risk",IF(H387&gt;-1,"Not Functioning"))))</f>
        <v/>
      </c>
      <c r="J387" s="423"/>
      <c r="K387" s="423"/>
    </row>
    <row r="388" spans="1:12" ht="15" customHeight="1" x14ac:dyDescent="0.25">
      <c r="A388" s="446"/>
      <c r="B388" s="446"/>
      <c r="C388" s="104" t="s">
        <v>9</v>
      </c>
      <c r="D388" s="104"/>
      <c r="E388" s="305"/>
      <c r="F388" s="105" t="str">
        <f>IF(E388="","",IF(OR('Quantification Tool'!B$7="A",'Quantification Tool'!B$7="B", 'Quantification Tool'!B$7="Bc"),IF(E388&lt;1.2,0,IF(E388&gt;=2.2,1,ROUND(IF(E388&lt;1.4,E388*'Performance Standards'!$K$84+'Performance Standards'!$K$85,E388*'Performance Standards'!$L$84+'Performance Standards'!$L$85),2))),IF(OR('Quantification Tool'!B$7="C",'Quantification Tool'!B$7="E"),IF(E388&lt;2,0,IF(E388&gt;=5,1,ROUND(IF(E388&lt;2.4,E388*'Performance Standards'!$L$49+'Performance Standards'!$L$50,E388*'Performance Standards'!$K$49+'Performance Standards'!$K$50),2))))))</f>
        <v/>
      </c>
      <c r="G388" s="450"/>
      <c r="H388" s="450"/>
      <c r="I388" s="437"/>
      <c r="J388" s="423"/>
      <c r="K388" s="423"/>
    </row>
    <row r="389" spans="1:12" ht="15" customHeight="1" x14ac:dyDescent="0.25">
      <c r="A389" s="439" t="s">
        <v>30</v>
      </c>
      <c r="B389" s="439" t="s">
        <v>31</v>
      </c>
      <c r="C389" s="111" t="s">
        <v>27</v>
      </c>
      <c r="D389" s="318"/>
      <c r="E389" s="253"/>
      <c r="F389" s="132" t="str">
        <f>IF(E389="","",IF(E389&gt;700,1,IF(E389&lt;300,ROUND('Performance Standards'!$S$14*(E389^2)+'Performance Standards'!$S$15*E389+'Performance Standards'!$S$16,2),ROUND('Performance Standards'!$T$15*E389+'Performance Standards'!$T$16,2))))</f>
        <v/>
      </c>
      <c r="G389" s="441" t="str">
        <f>IFERROR(AVERAGE(F389:F390),"")</f>
        <v/>
      </c>
      <c r="H389" s="438" t="str">
        <f>IFERROR(ROUND(AVERAGE(G389:G407),2),"")</f>
        <v/>
      </c>
      <c r="I389" s="423" t="str">
        <f>IF(H389="","",IF(H389&gt;0.69,"Functioning",IF(H389&gt;0.29,"Functioning At Risk",IF(H389&gt;-1,"Not Functioning"))))</f>
        <v/>
      </c>
      <c r="J389" s="423"/>
      <c r="K389" s="423"/>
    </row>
    <row r="390" spans="1:12" ht="15" customHeight="1" x14ac:dyDescent="0.25">
      <c r="A390" s="443"/>
      <c r="B390" s="440"/>
      <c r="C390" s="113" t="s">
        <v>369</v>
      </c>
      <c r="D390" s="317"/>
      <c r="E390" s="305"/>
      <c r="F390" s="319" t="str">
        <f>IF(E390="","",IF(E390&gt;30,1,IF(E390&lt;16,ROUND('Performance Standards'!$S$48*(E390^2)+'Performance Standards'!$S$49*E390+'Performance Standards'!$S$50,2),ROUND('Performance Standards'!$T$49*E390+'Performance Standards'!$T$50,2))))</f>
        <v/>
      </c>
      <c r="G390" s="442"/>
      <c r="H390" s="438"/>
      <c r="I390" s="423"/>
      <c r="J390" s="423"/>
      <c r="K390" s="423"/>
    </row>
    <row r="391" spans="1:12" ht="15.75" x14ac:dyDescent="0.25">
      <c r="A391" s="443"/>
      <c r="B391" s="443" t="s">
        <v>54</v>
      </c>
      <c r="C391" s="111" t="s">
        <v>156</v>
      </c>
      <c r="D391" s="114"/>
      <c r="E391" s="253"/>
      <c r="F391" s="109" t="str">
        <f>IF(E391="","",ROUND(IF(E391&gt;0.7,0,IF(E391&lt;=0.1,1,E391^3*'Performance Standards'!S$83+E391^2*'Performance Standards'!S$84+E391*'Performance Standards'!S$85+'Performance Standards'!S$86)),2))</f>
        <v/>
      </c>
      <c r="G391" s="444" t="str">
        <f>IFERROR(IF(E391="",AVERAGE(F392:F393),IF(E392="",F391,MIN(F391,AVERAGE(F392:F393)))),"")</f>
        <v/>
      </c>
      <c r="H391" s="438"/>
      <c r="I391" s="423"/>
      <c r="J391" s="423"/>
      <c r="K391" s="423"/>
    </row>
    <row r="392" spans="1:12" ht="15.75" x14ac:dyDescent="0.25">
      <c r="A392" s="443"/>
      <c r="B392" s="443"/>
      <c r="C392" s="112" t="s">
        <v>55</v>
      </c>
      <c r="D392" s="108"/>
      <c r="E392" s="304"/>
      <c r="F392" s="109" t="str">
        <f>IF(E392="","",IF(OR(E392="Ex/Ex",E392="Ex/VH"),0, IF(OR(E392="Ex/H",E392="VH/Ex",E392="VH/VH", E392="H/Ex",E392="H/VH",E392="M/Ex"),0.1,IF(OR(E392="Ex/M",E392="VH/H",E392="H/H", E392="M/VH"),0.2, IF(OR(E392="Ex/L",E392="VH/M",E392="H/M", E392="M/H",E392="L/Ex"),0.3, IF(OR(E392="Ex/VL",E392="VH/L",E392="H/L"),0.4, IF(OR(E392="VH/VL",E392="H/VL",E392="M/M", E392="L/VH"),0.5, IF(OR(E392="M/L",E392="L/H"),0.6, IF(OR(E392="M/VL",E392="L/M"),0.7, IF(OR(E392="L/L",E392="L/VL"),1))))))))))</f>
        <v/>
      </c>
      <c r="G392" s="444"/>
      <c r="H392" s="438"/>
      <c r="I392" s="423"/>
      <c r="J392" s="423"/>
      <c r="K392" s="423"/>
    </row>
    <row r="393" spans="1:12" ht="15.75" x14ac:dyDescent="0.25">
      <c r="A393" s="443"/>
      <c r="B393" s="443"/>
      <c r="C393" s="113" t="s">
        <v>192</v>
      </c>
      <c r="D393" s="116"/>
      <c r="E393" s="305"/>
      <c r="F393" s="118" t="str">
        <f>IF(E393="","",ROUND(IF(E393&gt;40,0,IF(E393&lt;5,1,E393^3*'Performance Standards'!S$118+E393^2*'Performance Standards'!S$119+E393*'Performance Standards'!S$120+'Performance Standards'!S$121)),2))</f>
        <v/>
      </c>
      <c r="G393" s="444"/>
      <c r="H393" s="438"/>
      <c r="I393" s="423"/>
      <c r="J393" s="423"/>
      <c r="K393" s="423"/>
    </row>
    <row r="394" spans="1:12" ht="15.75" x14ac:dyDescent="0.25">
      <c r="A394" s="443"/>
      <c r="B394" s="439" t="s">
        <v>56</v>
      </c>
      <c r="C394" s="114" t="s">
        <v>242</v>
      </c>
      <c r="D394" s="114"/>
      <c r="E394" s="253"/>
      <c r="F394" s="132" t="str">
        <f>IF(E394="","",ROUND(IF(E394&gt;90,1,E394^2*'Performance Standards'!S$153+E394*'Performance Standards'!S$154+'Performance Standards'!S$155),2))</f>
        <v/>
      </c>
      <c r="G394" s="441" t="str">
        <f>IFERROR(AVERAGE(F394:F401),"")</f>
        <v/>
      </c>
      <c r="H394" s="438"/>
      <c r="I394" s="423"/>
      <c r="J394" s="423"/>
      <c r="K394" s="423"/>
    </row>
    <row r="395" spans="1:12" ht="15.75" x14ac:dyDescent="0.25">
      <c r="A395" s="443"/>
      <c r="B395" s="443"/>
      <c r="C395" s="108" t="s">
        <v>243</v>
      </c>
      <c r="D395" s="108"/>
      <c r="E395" s="304"/>
      <c r="F395" s="109" t="str">
        <f>IF(E395="","",ROUND(IF(E395&gt;90,1,E395^2*'Performance Standards'!S$153+E395*'Performance Standards'!S$154+'Performance Standards'!S$155),2))</f>
        <v/>
      </c>
      <c r="G395" s="444"/>
      <c r="H395" s="438"/>
      <c r="I395" s="423"/>
      <c r="J395" s="423"/>
      <c r="K395" s="423"/>
    </row>
    <row r="396" spans="1:12" ht="15.75" x14ac:dyDescent="0.25">
      <c r="A396" s="443"/>
      <c r="B396" s="443"/>
      <c r="C396" s="108" t="s">
        <v>170</v>
      </c>
      <c r="D396" s="108"/>
      <c r="E396" s="304"/>
      <c r="F396" s="109" t="str">
        <f>IF(E396="","",ROUND(IF(OR('Quantification Tool'!B$7="A",'Quantification Tool'!B$7="B",'Quantification Tool'!B$7="Bc"),IF(E396&gt;=50,1, IF(E396&lt;30, E396*'Performance Standards'!S$188+'Performance Standards'!S$189, E396*'Performance Standards'!T$188+'Performance Standards'!T$189)), IF(E396&gt;=150,1,IF(E396&lt;48, E396^2*'Performance Standards'!S$222+E396*'Performance Standards'!S$223+'Performance Standards'!S$224, E396*'Performance Standards'!T$223+'Performance Standards'!T$224))),2))</f>
        <v/>
      </c>
      <c r="G396" s="444"/>
      <c r="H396" s="438"/>
      <c r="I396" s="423"/>
      <c r="J396" s="423"/>
      <c r="K396" s="423"/>
    </row>
    <row r="397" spans="1:12" ht="15.75" x14ac:dyDescent="0.25">
      <c r="A397" s="443"/>
      <c r="B397" s="443"/>
      <c r="C397" s="108" t="s">
        <v>171</v>
      </c>
      <c r="D397" s="108"/>
      <c r="E397" s="304"/>
      <c r="F397" s="109" t="str">
        <f>IF(E397="","",ROUND(IF(OR('Quantification Tool'!B$7="A",'Quantification Tool'!B$7="B",'Quantification Tool'!B$7="Bc"),IF(E397&gt;=50,1, IF(E397&lt;30, E397*'Performance Standards'!S$188+'Performance Standards'!S$189, E397*'Performance Standards'!T$188+'Performance Standards'!T$189)), IF(E397&gt;=150,1,IF(E397&lt;48, E397^2*'Performance Standards'!S$222+E397*'Performance Standards'!S$223+'Performance Standards'!S$224, E397*'Performance Standards'!T$223+'Performance Standards'!T$224))),2))</f>
        <v/>
      </c>
      <c r="G397" s="444"/>
      <c r="H397" s="438"/>
      <c r="I397" s="423"/>
      <c r="J397" s="423"/>
      <c r="K397" s="423"/>
    </row>
    <row r="398" spans="1:12" ht="15.75" x14ac:dyDescent="0.25">
      <c r="A398" s="443"/>
      <c r="B398" s="443"/>
      <c r="C398" s="108" t="s">
        <v>251</v>
      </c>
      <c r="D398" s="108"/>
      <c r="E398" s="304"/>
      <c r="F398" s="109" t="str">
        <f>IF(E398="","",ROUND(IF(E398&gt;100,1,E398^2*'Performance Standards'!S$255+E398*'Performance Standards'!S$256+'Performance Standards'!S$257),2))</f>
        <v/>
      </c>
      <c r="G398" s="444"/>
      <c r="H398" s="438"/>
      <c r="I398" s="423"/>
      <c r="J398" s="423"/>
      <c r="K398" s="423"/>
      <c r="L398" s="21"/>
    </row>
    <row r="399" spans="1:12" ht="15.75" x14ac:dyDescent="0.25">
      <c r="A399" s="443"/>
      <c r="B399" s="443"/>
      <c r="C399" s="108" t="s">
        <v>252</v>
      </c>
      <c r="D399" s="108"/>
      <c r="E399" s="304"/>
      <c r="F399" s="109" t="str">
        <f>IF(E399="","",ROUND(IF(E399&gt;100,1,E399^2*'Performance Standards'!S$255+E399*'Performance Standards'!S$256+'Performance Standards'!S$257),2))</f>
        <v/>
      </c>
      <c r="G399" s="444"/>
      <c r="H399" s="438"/>
      <c r="I399" s="423"/>
      <c r="J399" s="423"/>
      <c r="K399" s="423"/>
      <c r="L399" s="21"/>
    </row>
    <row r="400" spans="1:12" ht="15.75" x14ac:dyDescent="0.25">
      <c r="A400" s="443"/>
      <c r="B400" s="443"/>
      <c r="C400" s="112" t="s">
        <v>342</v>
      </c>
      <c r="D400" s="108"/>
      <c r="E400" s="304"/>
      <c r="F400" s="109" t="str">
        <f>IF(E400="","",ROUND(IF(E400&gt;=260,0.5,E400*'Performance Standards'!S$288+'Performance Standards'!S$289),2))</f>
        <v/>
      </c>
      <c r="G400" s="444"/>
      <c r="H400" s="438"/>
      <c r="I400" s="423"/>
      <c r="J400" s="423"/>
      <c r="K400" s="423"/>
      <c r="L400" s="21"/>
    </row>
    <row r="401" spans="1:12" ht="15.75" x14ac:dyDescent="0.25">
      <c r="A401" s="443"/>
      <c r="B401" s="440"/>
      <c r="C401" s="113" t="s">
        <v>343</v>
      </c>
      <c r="D401" s="108"/>
      <c r="E401" s="304"/>
      <c r="F401" s="219" t="str">
        <f>IF(E401="","",ROUND(IF(E401&gt;=260,0.5,E401*'Performance Standards'!S$288+'Performance Standards'!S$289),2))</f>
        <v/>
      </c>
      <c r="G401" s="442"/>
      <c r="H401" s="438"/>
      <c r="I401" s="423"/>
      <c r="J401" s="423"/>
      <c r="K401" s="423"/>
      <c r="L401" s="21"/>
    </row>
    <row r="402" spans="1:12" ht="15.75" x14ac:dyDescent="0.25">
      <c r="A402" s="443"/>
      <c r="B402" s="106" t="s">
        <v>254</v>
      </c>
      <c r="C402" s="131" t="s">
        <v>345</v>
      </c>
      <c r="D402" s="107"/>
      <c r="E402" s="87"/>
      <c r="F402" s="109" t="str">
        <f>IF(E402="","",IF('Quantification Tool'!B$10="Gravel",IF(E402&gt;0.1,1,IF(E402&lt;=0.01,0,ROUND(E402*'Performance Standards'!$S$323+'Performance Standards'!$S$324,2)))))</f>
        <v/>
      </c>
      <c r="G402" s="155" t="str">
        <f>IFERROR(AVERAGE(F402),"")</f>
        <v/>
      </c>
      <c r="H402" s="438"/>
      <c r="I402" s="423"/>
      <c r="J402" s="423"/>
      <c r="K402" s="423"/>
      <c r="L402" s="21"/>
    </row>
    <row r="403" spans="1:12" ht="15.75" x14ac:dyDescent="0.25">
      <c r="A403" s="443"/>
      <c r="B403" s="439" t="s">
        <v>57</v>
      </c>
      <c r="C403" s="111" t="s">
        <v>58</v>
      </c>
      <c r="D403" s="114"/>
      <c r="E403" s="253"/>
      <c r="F403" s="310" t="str">
        <f>IF(E403="","",IF('Quantification Tool'!B$13&gt;=4,IF(AND(E403&lt;=5,E403&gt;=0.1),1,IF(OR(E403&lt;0.1,E403&gt;8),0,ROUND(E403*'Performance Standards'!$S$357+'Performance Standards'!$S$358,2))), IF(AND('Quantification Tool'!B$9&gt;=10,OR('Quantification Tool'!B$7="C",'Quantification Tool'!B$7="E")),IF(OR(E403&lt;3,E403&gt;8),0,IF(AND(E403&gt;=4,E403&lt;=7),1,ROUND(E403^2*'Performance Standards'!$S$389+E403*'Performance Standards'!$S$390+'Performance Standards'!$S$391,2))),  IF(AND('Quantification Tool'!B$9&lt;10,OR('Quantification Tool'!B$7="C",'Quantification Tool'!B$7="E")),IF(OR(E403&lt;3,E403&gt;7),0,IF(E403&lt;4,ROUND(E403*'Performance Standards'!$S$423+'Performance Standards'!$S$424,2), IF(E403&gt;5, ROUND(E403*'Performance Standards'!$T$423+'Performance Standards'!T$424,2),1))),IF(OR(AND('Quantification Tool'!B$13&lt;2,'Quantification Tool'!B$7="Bc"),AND('Quantification Tool'!B$13&gt;=2,'Quantification Tool'!B$13&lt;=4,'Quantification Tool'!B$7="B")),ROUND(IF(E403&gt;8,0,IF(E403&lt;=0.6,1,E403^2*'Performance Standards'!$S$455+E403*'Performance Standards'!$S$456+'Performance Standards'!$S$457)),2))))))</f>
        <v/>
      </c>
      <c r="G403" s="441" t="str">
        <f>IFERROR(AVERAGE(F403:F406),"")</f>
        <v/>
      </c>
      <c r="H403" s="438"/>
      <c r="I403" s="423"/>
      <c r="J403" s="423"/>
      <c r="K403" s="423"/>
      <c r="L403" s="21"/>
    </row>
    <row r="404" spans="1:12" ht="15.75" x14ac:dyDescent="0.25">
      <c r="A404" s="443"/>
      <c r="B404" s="443"/>
      <c r="C404" s="112" t="s">
        <v>59</v>
      </c>
      <c r="D404" s="108"/>
      <c r="E404" s="304"/>
      <c r="F404" s="311" t="str">
        <f>IF(E404="","",IF(E404&lt;=1.1,0,IF(OR('Quantification Tool'!B$7="A", 'Quantification Tool'!B$7="B", 'Quantification Tool'!B$7="Bc"),IF(E404&gt;1.74,1,ROUND(IF(E404&lt;1.2,E404*'Performance Standards'!S$556+'Performance Standards'!S$557,E404*'Performance Standards'!T$556+'Performance Standards'!T$557),2)),IF(OR('Quantification Tool'!B$7="C", 'Quantification Tool'!B$7="E"),IF('Quantification Tool'!B$10="Gravel",IF(E404&gt;1.74,1,ROUND(IF(E404&lt;1.2,E404*'Performance Standards'!S$489+'Performance Standards'!S$490,E404*'Performance Standards'!T$489+'Performance Standards'!T$490),2)),IF('Quantification Tool'!B$10="Sand",IF(E404&gt;=1.25,1,ROUND(E404^2*'Performance Standards'!S$521+E404*'Performance Standards'!S$522+'Performance Standards'!S$523,2))))))))</f>
        <v/>
      </c>
      <c r="G404" s="444"/>
      <c r="H404" s="438"/>
      <c r="I404" s="423"/>
      <c r="J404" s="423"/>
      <c r="K404" s="423"/>
      <c r="L404" s="21"/>
    </row>
    <row r="405" spans="1:12" ht="15.75" x14ac:dyDescent="0.25">
      <c r="A405" s="443"/>
      <c r="B405" s="443"/>
      <c r="C405" s="112" t="s">
        <v>62</v>
      </c>
      <c r="D405" s="108"/>
      <c r="E405" s="304"/>
      <c r="F405" s="312" t="str">
        <f>IF(E405="","",IF('Quantification Tool'!B$13="","Need Slope",IF('Quantification Tool'!B$13&lt;3,ROUND(IF(OR(E405&gt;83,E405&lt;32),0, IF(E405&lt;60,E405*'Performance Standards'!S$591+'Performance Standards'!S$592,IF(E405&gt;70,E405^2*'Performance Standards'!T$590+E405*'Performance Standards'!T$591+'Performance Standards'!T$592,1))),2),IF('Quantification Tool'!B$13&gt;10,ROUND(IF(E405&gt;=80,1,IF(E405&lt;67,0,E405^2*'Performance Standards'!S$657+E405*'Performance Standards'!S$658+'Performance Standards'!S$659)),2),IF(OR(E405&gt;76, E405&lt;34),0,IF(AND(E405&gt;49,E405&lt;61),1,ROUND(IF(E405&lt;50,E405*'Performance Standards'!S$625+'Performance Standards'!S$626,E405*'Performance Standards'!T$625+'Performance Standards'!T$626),2)))))))</f>
        <v/>
      </c>
      <c r="G405" s="444"/>
      <c r="H405" s="438"/>
      <c r="I405" s="423"/>
      <c r="J405" s="423"/>
      <c r="K405" s="423"/>
      <c r="L405" s="21"/>
    </row>
    <row r="406" spans="1:12" ht="15.75" x14ac:dyDescent="0.25">
      <c r="A406" s="443"/>
      <c r="B406" s="440"/>
      <c r="C406" s="116" t="s">
        <v>363</v>
      </c>
      <c r="D406" s="116"/>
      <c r="E406" s="305"/>
      <c r="F406" s="117" t="str">
        <f>IF(E406="","",IF(E406&gt;=1.6,0,IF(E406&lt;=1,1,ROUND('Performance Standards'!$S$689*E406^3+'Performance Standards'!$S$690*E406^2+'Performance Standards'!$S$691*E406+'Performance Standards'!$S$692,2))))</f>
        <v/>
      </c>
      <c r="G406" s="442"/>
      <c r="H406" s="438"/>
      <c r="I406" s="423"/>
      <c r="J406" s="423"/>
      <c r="K406" s="423"/>
      <c r="L406" s="21"/>
    </row>
    <row r="407" spans="1:12" ht="15.75" x14ac:dyDescent="0.25">
      <c r="A407" s="440"/>
      <c r="B407" s="276" t="s">
        <v>64</v>
      </c>
      <c r="C407" s="116" t="s">
        <v>63</v>
      </c>
      <c r="D407" s="116"/>
      <c r="E407" s="305"/>
      <c r="F407" s="118" t="str">
        <f>IF(E407="","",IF(AND('Quantification Tool'!B$7="E",'Quantification Tool'!$B$10="Sand",'Quantification Tool'!$B$18="Unconfined Alluvial"),ROUND(IF(OR(E407&gt;1.8,E407&lt;1.3),0,IF(E407&lt;=1.6,1,E407*'Performance Standards'!$S$723+'Performance Standards'!$S$724)),2),    IF('Quantification Tool'!$B$18="Unconfined Alluvial",ROUND(IF(OR(E407&lt;1.2, E407&gt;1.5),0,IF(E407&lt;=1.4,1,E407*'Performance Standards'!$S$756+'Performance Standards'!$S$757)),2), IF('Quantification Tool'!$B$18="Confined Alluvial",ROUND(IF(E407&lt;1.15,0,IF(E407&lt;=1.4,E407*'Performance Standards'!$S$785+'Performance Standards'!$S$786,1)),2),  IF('Quantification Tool'!$B$18="Colluvial",ROUND(IF(E407&gt;1.3,0,IF(E407&gt;1.2,E407*'Performance Standards'!$S$815+'Performance Standards'!$S$816,1)),2) )))))</f>
        <v/>
      </c>
      <c r="G407" s="158" t="str">
        <f>IFERROR(AVERAGE(F407),"")</f>
        <v/>
      </c>
      <c r="H407" s="438"/>
      <c r="I407" s="423"/>
      <c r="J407" s="423"/>
      <c r="K407" s="423"/>
      <c r="L407" s="21"/>
    </row>
    <row r="408" spans="1:12" ht="15.75" x14ac:dyDescent="0.25">
      <c r="A408" s="431" t="s">
        <v>68</v>
      </c>
      <c r="B408" s="122" t="s">
        <v>161</v>
      </c>
      <c r="C408" s="133" t="s">
        <v>438</v>
      </c>
      <c r="D408" s="123"/>
      <c r="E408" s="87"/>
      <c r="F408" s="124" t="str">
        <f>IF(E408="","",IF('Quantification Tool'!$B$16="Coldwater",IF(E408&gt;77,0,IF(E408&lt;59,1,ROUND(E408*'Performance Standards'!$AB$15+'Performance Standards'!$AB$16,2))),IF('Quantification Tool'!$B$16="Coolwater",IF(E408&gt;97,0,IF(E408&lt;67,1,ROUND(E408*'Performance Standards'!$AC$15+'Performance Standards'!$AC$16,2))))))</f>
        <v/>
      </c>
      <c r="G408" s="159" t="str">
        <f>IFERROR(AVERAGE(F408),"")</f>
        <v/>
      </c>
      <c r="H408" s="426" t="str">
        <f>IFERROR(ROUND(AVERAGE(G408:G413),2),"")</f>
        <v/>
      </c>
      <c r="I408" s="425" t="str">
        <f>IF(H408="","",IF(H408&gt;0.69,"Functioning",IF(H408&gt;0.29,"Functioning At Risk",IF(H408&gt;-1,"Not Functioning"))))</f>
        <v/>
      </c>
      <c r="J408" s="423"/>
      <c r="K408" s="423"/>
      <c r="L408" s="21"/>
    </row>
    <row r="409" spans="1:12" ht="16.5" customHeight="1" x14ac:dyDescent="0.25">
      <c r="A409" s="430"/>
      <c r="B409" s="277" t="s">
        <v>194</v>
      </c>
      <c r="C409" s="127" t="s">
        <v>197</v>
      </c>
      <c r="D409" s="120"/>
      <c r="E409" s="304"/>
      <c r="F409" s="121" t="str">
        <f>IF(E409="","",ROUND(IF(E409&gt;=284,0,E409*'Performance Standards'!AB$116+'Performance Standards'!AB$117),2))</f>
        <v/>
      </c>
      <c r="G409" s="159" t="str">
        <f>IFERROR(AVERAGE(F409),"")</f>
        <v/>
      </c>
      <c r="H409" s="426"/>
      <c r="I409" s="425"/>
      <c r="J409" s="423"/>
      <c r="K409" s="423"/>
    </row>
    <row r="410" spans="1:12" ht="15.75" customHeight="1" x14ac:dyDescent="0.25">
      <c r="A410" s="430"/>
      <c r="B410" s="430" t="s">
        <v>195</v>
      </c>
      <c r="C410" s="263" t="s">
        <v>92</v>
      </c>
      <c r="D410" s="215"/>
      <c r="E410" s="253"/>
      <c r="F410" s="134" t="str">
        <f>IF(E410="","",IF(OR(E410&lt;0.5,E410&gt;2), 0, ROUND(IF(E410&lt;0.75, E410*'Performance Standards'!$AB$153+'Performance Standards'!$AB$154, IF(E410&lt;=1.33, E410*'Performance Standards'!$AC$153+'Performance Standards'!$AC$154,E410*'Performance Standards'!$AD$153+'Performance Standards'!$AD$154)),2)))</f>
        <v/>
      </c>
      <c r="G410" s="456" t="str">
        <f>IFERROR(AVERAGE(F410:F411),"")</f>
        <v/>
      </c>
      <c r="H410" s="426"/>
      <c r="I410" s="425"/>
      <c r="J410" s="423"/>
      <c r="K410" s="423"/>
    </row>
    <row r="411" spans="1:12" ht="15.75" customHeight="1" x14ac:dyDescent="0.25">
      <c r="A411" s="430"/>
      <c r="B411" s="430"/>
      <c r="C411" s="135" t="s">
        <v>193</v>
      </c>
      <c r="D411" s="127"/>
      <c r="E411" s="305"/>
      <c r="F411" s="121" t="str">
        <f>IF(E411="","",IF('Quantification Tool'!$B$8 = "Mountains", IF('Quantification Tool'!$B$9 &lt;=5, IF( 'Quantification Tool'!$B$17= "Winter/Spring", ROUND(IF(E411&gt;=23,1,E411*'Performance Standards'!$AB$188+'Performance Standards'!$AB$189),2), IF('Quantification Tool'!$B$17= "Summer", ROUND(IF(E411&gt;=21,1,E411*'Performance Standards'!$AC$188),2), IF('Quantification Tool'!$B$17= "Fall", ROUND(IF(E411&gt;=18,1,E411*'Performance Standards'!$AD$188),2)))), IF('Quantification Tool'!$B$9&lt;10, IF('Quantification Tool'!$B$17= "Winter/Spring", ROUND(IF(E411&gt;16,1,E411*'Performance Standards'!$AB$222),2),IF('Quantification Tool'!$B$17= "Summer",ROUND(IF(E411&gt;14,1,E411*'Performance Standards'!$AC$222),2), IF('Quantification Tool'!$B$17= "Fall",ROUND(IF(E411&gt;12,1,E411*'Performance Standards'!$AD$222),2)))), IF('Quantification Tool'!$B$17= "Winter/Spring", ROUND(IF(E411&gt;14,1,E411*'Performance Standards'!$AB$256),2),IF('Quantification Tool'!$B$17= "Summer",ROUND(IF(E411&gt;16,1,E411*'Performance Standards'!$AC$256),2), IF('Quantification Tool'!$B$17= "Fall",ROUND(IF(E411&gt;15,1,E411*'Performance Standards'!$AD$256),2)))))), IF('Quantification Tool'!$B$8 = "Piedmont",  IF('Quantification Tool'!$B$9 &lt;=5, IF( 'Quantification Tool'!$B$17= "Winter/Spring", ROUND(IF(E411&gt;=18,1,E411*'Performance Standards'!$AB$290),2), IF('Quantification Tool'!$B$17= "Summer", ROUND(IF(E411&gt;=12,1,E411*'Performance Standards'!$AC$290),2), IF('Quantification Tool'!$B$17= "Fall", ROUND(IF(E411&gt;=14,1,E411*'Performance Standards'!$AD$290),2)))), IF('Quantification Tool'!$B$9&lt;10, IF('Quantification Tool'!$B$17= "Winter/Spring", ROUND(IF(E411&gt;12,1,E411*'Performance Standards'!$AB$326),2),IF('Quantification Tool'!$B$17= "Summer",ROUND(IF(E411&gt;5,1,E411*'Performance Standards'!$AC$326),2), IF('Quantification Tool'!$B$17= "Fall",ROUND(IF(E411&gt;8,1,E411*'Performance Standards'!$AD$326),2)))), IF('Quantification Tool'!$B$17= "Winter/Spring", ROUND(IF(E411&gt;8,1,E411*'Performance Standards'!$AB$360),2),IF('Quantification Tool'!$B$17= "Summer",ROUND(IF(E411&gt;7,1,E411*'Performance Standards'!$AC$360),2), IF('Quantification Tool'!$B$17= "Fall",ROUND(IF(E411&gt;8,1,E411*'Performance Standards'!$AD$360),2)))))),IF('Quantification Tool'!$B$8 = "Coastal Plain", IF('Quantification Tool'!$B$9 &lt;=5, IF( 'Quantification Tool'!$B$17= "Winter/Spring", ROUND(IF(E411&gt;=33,1,E411*'Performance Standards'!$AB$392),2), IF('Quantification Tool'!$B$17= "Summer", ROUND(IF(E411&gt;=14,1,E411*'Performance Standards'!$AC$392),2), IF('Quantification Tool'!$B$17= "Fall", ROUND(IF(E411&gt;=25,1,E411*'Performance Standards'!$AD$392),2)))), IF('Quantification Tool'!$B$9&lt;10, IF('Quantification Tool'!$B$17= "Winter/Spring", ROUND(IF(E411&gt;20,1,E411*'Performance Standards'!$AB$424),2),IF('Quantification Tool'!$B$17= "Summer",ROUND(IF(E411&gt;13,1,E411*'Performance Standards'!$AC$424),2), IF('Quantification Tool'!$B$17= "Fall",ROUND(IF(E411&gt;12,1,E411*'Performance Standards'!$AD$424),2)))), IF('Quantification Tool'!$B$17= "Winter/Spring", ROUND(IF(E411&gt;17,1,E411*'Performance Standards'!$AB$458),2),IF('Quantification Tool'!$B$17= "Summer",ROUND(IF(E411&gt;16,1,E411*'Performance Standards'!$AC$458),2), IF('Quantification Tool'!$B$17= "Fall",ROUND(IF(E411&gt;8,1,E411*'Performance Standards'!$AD$458),2))))))))))</f>
        <v/>
      </c>
      <c r="G411" s="457"/>
      <c r="H411" s="426"/>
      <c r="I411" s="425"/>
      <c r="J411" s="423"/>
      <c r="K411" s="423"/>
    </row>
    <row r="412" spans="1:12" ht="15.75" customHeight="1" x14ac:dyDescent="0.25">
      <c r="A412" s="430"/>
      <c r="B412" s="122" t="s">
        <v>162</v>
      </c>
      <c r="C412" s="377" t="s">
        <v>446</v>
      </c>
      <c r="D412" s="123"/>
      <c r="E412" s="304"/>
      <c r="F412" s="125" t="str">
        <f>IF(E412="","",IF(E412&gt;4,0,ROUND(E412^2*'Performance Standards'!$AB$488+E412*'Performance Standards'!$AB$489+'Performance Standards'!$AB$490,2)))</f>
        <v/>
      </c>
      <c r="G412" s="161" t="str">
        <f>IFERROR(AVERAGE(F412),"")</f>
        <v/>
      </c>
      <c r="H412" s="426"/>
      <c r="I412" s="425"/>
      <c r="J412" s="423"/>
      <c r="K412" s="423"/>
    </row>
    <row r="413" spans="1:12" ht="15.75" customHeight="1" x14ac:dyDescent="0.25">
      <c r="A413" s="432"/>
      <c r="B413" s="277" t="s">
        <v>163</v>
      </c>
      <c r="C413" s="377" t="s">
        <v>447</v>
      </c>
      <c r="D413" s="120"/>
      <c r="E413" s="253"/>
      <c r="F413" s="121" t="str">
        <f>IF(E413="","",IF(E413&gt;0.23,0,ROUND(E413^2*'Performance Standards'!$AB$521+E413*'Performance Standards'!$AB$522+'Performance Standards'!$AB$523,2)))</f>
        <v/>
      </c>
      <c r="G413" s="159" t="str">
        <f>IFERROR(AVERAGE(F413),"")</f>
        <v/>
      </c>
      <c r="H413" s="426"/>
      <c r="I413" s="425"/>
      <c r="J413" s="423"/>
      <c r="K413" s="423"/>
    </row>
    <row r="414" spans="1:12" ht="15.75" x14ac:dyDescent="0.25">
      <c r="A414" s="427" t="s">
        <v>70</v>
      </c>
      <c r="B414" s="451" t="s">
        <v>93</v>
      </c>
      <c r="C414" s="226" t="s">
        <v>253</v>
      </c>
      <c r="D414" s="227"/>
      <c r="E414" s="253"/>
      <c r="F414" s="228" t="str">
        <f>IF(E414="","",IF('Quantification Tool'!B$8="Mountains",IF(E414&gt;6.52,0,IF(E414&lt;3.3,1,ROUND(IF(E414&gt;5.62,E414*'Performance Standards'!AL$15+'Performance Standards'!AL$16, E414^2*'Performance Standards'!AK$15+E414*'Performance Standards'!AK$16+'Performance Standards'!AK$17),2))),IF('Quantification Tool'!B$8="Piedmont",IF(E414&gt;6.91,0, IF(E414&lt;4.31,1, ROUND(IF(E414&gt;5.85, E414*'Performance Standards'!$AL$49+'Performance Standards'!$AL$50, E414^2*'Performance Standards'!AK$49+E414*'Performance Standards'!AK$50+'Performance Standards'!AK$51),2))))))</f>
        <v/>
      </c>
      <c r="G414" s="460" t="str">
        <f>IFERROR(AVERAGE(F414:F415),"")</f>
        <v/>
      </c>
      <c r="H414" s="424" t="str">
        <f>IFERROR(ROUND(AVERAGE(G414:G416),2),"")</f>
        <v/>
      </c>
      <c r="I414" s="425" t="str">
        <f>IF(H414="","",IF(H414&gt;0.69,"Functioning",IF(H414&gt;0.29,"Functioning At Risk",IF(H414&gt;-1,"Not Functioning"))))</f>
        <v/>
      </c>
      <c r="J414" s="423"/>
      <c r="K414" s="423"/>
    </row>
    <row r="415" spans="1:12" ht="15.75" x14ac:dyDescent="0.25">
      <c r="A415" s="428"/>
      <c r="B415" s="452"/>
      <c r="C415" s="229" t="s">
        <v>264</v>
      </c>
      <c r="D415" s="128"/>
      <c r="E415" s="305"/>
      <c r="F415" s="230" t="str">
        <f>IF(E415="","",ROUND(IF('Quantification Tool'!B$8="Mountains", IF(E415&lt;11,0,IF(E415&gt;35,1,E415^3*'Performance Standards'!AK$83+E415^2*'Performance Standards'!AK$84+E415*'Performance Standards'!AK$85+'Performance Standards'!AK$86)),IF('Quantification Tool'!B$8 = "Piedmont", IF(E415&lt;7,0,IF(E415&gt;27,1,E415^3*'Performance Standards'!AK$116+E415^2*'Performance Standards'!AK$117+E415*'Performance Standards'!AK$118+'Performance Standards'!AK$119)), IF('Quantification Tool'!B$8="Coastal Plain",IF(E415&lt;6,0,IF(E415&gt;23,1,E415^3*'Performance Standards'!AK$151+E415^2*'Performance Standards'!AK$152+E415*'Performance Standards'!AK$153+'Performance Standards'!AK$154))))),2))</f>
        <v/>
      </c>
      <c r="G415" s="461"/>
      <c r="H415" s="424"/>
      <c r="I415" s="425"/>
      <c r="J415" s="423"/>
      <c r="K415" s="423"/>
    </row>
    <row r="416" spans="1:12" ht="15.75" x14ac:dyDescent="0.25">
      <c r="A416" s="429"/>
      <c r="B416" s="278" t="s">
        <v>146</v>
      </c>
      <c r="C416" s="128" t="s">
        <v>147</v>
      </c>
      <c r="D416" s="128"/>
      <c r="E416" s="305"/>
      <c r="F416" s="130" t="str">
        <f>IF(E416="","",IF(OR('Quantification Tool'!$B$15="French Broad",'Quantification Tool'!$B$15="Hiwassee",'Quantification Tool'!$B$15="Little Tennessee",'Quantification Tool'!$B$15="New",'Quantification Tool'!$B$15="Watauga"),IF(E416&lt;22,0,IF(E416&gt;=60,1,ROUND(E416*'Performance Standards'!$AK$185+'Performance Standards'!$AK$186,2))),IF(OR('Quantification Tool'!$B$15="Broad",'Quantification Tool'!$B$15="Catawba",'Quantification Tool'!$B$15="Savannah",'Quantification Tool'!$B$15="Yadkin-PeeDee"),IF(E416&lt;27,0,IF(E416&gt;=60,1,ROUND(E416^2*'Performance Standards'!$AK$219+E416*'Performance Standards'!$AK$220+'Performance Standards'!$AK$221,2))),IF(OR('Quantification Tool'!$B$15="Cape Fear",'Quantification Tool'!$B$15="Neuse",'Quantification Tool'!$B$15="Roanoke",'Quantification Tool'!$B$15="Tar-Pamlico"),IF(E416&lt;26,0,IF(E416&gt;=60,1,ROUND(E416^2*'Performance Standards'!$AK$253+E416*'Performance Standards'!$AK$254+'Performance Standards'!$AK$255,2)))))))</f>
        <v/>
      </c>
      <c r="G416" s="162" t="str">
        <f>IFERROR(AVERAGE(F416),"")</f>
        <v/>
      </c>
      <c r="H416" s="424"/>
      <c r="I416" s="425"/>
      <c r="J416" s="423"/>
      <c r="K416" s="423"/>
    </row>
  </sheetData>
  <sheetProtection algorithmName="SHA-512" hashValue="Hrv4RH1rjPoTQVJ4II07e3qPFynyTxTvC16yOCE5BgXt/pGM9XLh3B/Q4K1Xz30cvL7ps3FVcvIAeAY0j05OGw==" saltValue="iCVYQXqr14FBwE7OgaxeJw==" spinCount="100000" sheet="1" objects="1" scenarios="1"/>
  <dataConsolidate/>
  <mergeCells count="386">
    <mergeCell ref="A1:B1"/>
    <mergeCell ref="B262:B263"/>
    <mergeCell ref="B224:B225"/>
    <mergeCell ref="B186:B187"/>
    <mergeCell ref="B148:B149"/>
    <mergeCell ref="B80:B82"/>
    <mergeCell ref="B72:B73"/>
    <mergeCell ref="B318:B325"/>
    <mergeCell ref="B166:B173"/>
    <mergeCell ref="A300:A302"/>
    <mergeCell ref="B300:B301"/>
    <mergeCell ref="A256:A261"/>
    <mergeCell ref="A231:A234"/>
    <mergeCell ref="A155:A158"/>
    <mergeCell ref="A110:A112"/>
    <mergeCell ref="B110:B111"/>
    <mergeCell ref="A83:A84"/>
    <mergeCell ref="B83:B84"/>
    <mergeCell ref="B237:B238"/>
    <mergeCell ref="B275:B276"/>
    <mergeCell ref="B242:B249"/>
    <mergeCell ref="A307:A310"/>
    <mergeCell ref="A269:A272"/>
    <mergeCell ref="A142:A147"/>
    <mergeCell ref="A408:A413"/>
    <mergeCell ref="H408:H413"/>
    <mergeCell ref="I408:I413"/>
    <mergeCell ref="B410:B411"/>
    <mergeCell ref="G410:G411"/>
    <mergeCell ref="A414:A416"/>
    <mergeCell ref="A383:A386"/>
    <mergeCell ref="H383:H386"/>
    <mergeCell ref="I383:I386"/>
    <mergeCell ref="B414:B415"/>
    <mergeCell ref="G414:G415"/>
    <mergeCell ref="H414:H416"/>
    <mergeCell ref="I414:I416"/>
    <mergeCell ref="A387:A388"/>
    <mergeCell ref="B387:B388"/>
    <mergeCell ref="G387:G388"/>
    <mergeCell ref="H387:H388"/>
    <mergeCell ref="I387:I388"/>
    <mergeCell ref="A389:A407"/>
    <mergeCell ref="H389:H407"/>
    <mergeCell ref="I389:I407"/>
    <mergeCell ref="B391:B393"/>
    <mergeCell ref="G391:G393"/>
    <mergeCell ref="B394:B401"/>
    <mergeCell ref="G394:G401"/>
    <mergeCell ref="A376:A378"/>
    <mergeCell ref="B376:B377"/>
    <mergeCell ref="G376:G377"/>
    <mergeCell ref="H376:H378"/>
    <mergeCell ref="I376:I378"/>
    <mergeCell ref="G381:K381"/>
    <mergeCell ref="C382:D382"/>
    <mergeCell ref="A345:A348"/>
    <mergeCell ref="H345:H348"/>
    <mergeCell ref="I345:I348"/>
    <mergeCell ref="J345:J378"/>
    <mergeCell ref="K345:K378"/>
    <mergeCell ref="B346:B348"/>
    <mergeCell ref="G346:G348"/>
    <mergeCell ref="A349:A350"/>
    <mergeCell ref="B349:B350"/>
    <mergeCell ref="G349:G350"/>
    <mergeCell ref="H349:H350"/>
    <mergeCell ref="I349:I350"/>
    <mergeCell ref="A351:A369"/>
    <mergeCell ref="H351:H369"/>
    <mergeCell ref="I351:I369"/>
    <mergeCell ref="B353:B355"/>
    <mergeCell ref="A370:A375"/>
    <mergeCell ref="H370:H375"/>
    <mergeCell ref="I370:I375"/>
    <mergeCell ref="B334:B335"/>
    <mergeCell ref="G334:G335"/>
    <mergeCell ref="A338:A340"/>
    <mergeCell ref="B338:B339"/>
    <mergeCell ref="G338:G339"/>
    <mergeCell ref="H338:H340"/>
    <mergeCell ref="I338:I340"/>
    <mergeCell ref="G343:K343"/>
    <mergeCell ref="C344:D344"/>
    <mergeCell ref="G372:G373"/>
    <mergeCell ref="B372:B373"/>
    <mergeCell ref="B351:B352"/>
    <mergeCell ref="A294:A299"/>
    <mergeCell ref="G289:G292"/>
    <mergeCell ref="G300:G301"/>
    <mergeCell ref="H300:H302"/>
    <mergeCell ref="I300:I302"/>
    <mergeCell ref="H294:H299"/>
    <mergeCell ref="H307:H310"/>
    <mergeCell ref="I307:I310"/>
    <mergeCell ref="J307:J340"/>
    <mergeCell ref="B308:B310"/>
    <mergeCell ref="G308:G310"/>
    <mergeCell ref="A311:A312"/>
    <mergeCell ref="B311:B312"/>
    <mergeCell ref="G311:G312"/>
    <mergeCell ref="H311:H312"/>
    <mergeCell ref="I311:I312"/>
    <mergeCell ref="A313:A331"/>
    <mergeCell ref="H313:H331"/>
    <mergeCell ref="I313:I331"/>
    <mergeCell ref="B315:B317"/>
    <mergeCell ref="G318:G325"/>
    <mergeCell ref="B313:B314"/>
    <mergeCell ref="A332:A337"/>
    <mergeCell ref="H332:H337"/>
    <mergeCell ref="A273:A274"/>
    <mergeCell ref="B273:B274"/>
    <mergeCell ref="G273:G274"/>
    <mergeCell ref="H273:H274"/>
    <mergeCell ref="I273:I274"/>
    <mergeCell ref="A275:A293"/>
    <mergeCell ref="H275:H293"/>
    <mergeCell ref="I275:I293"/>
    <mergeCell ref="B277:B279"/>
    <mergeCell ref="G277:G279"/>
    <mergeCell ref="B280:B287"/>
    <mergeCell ref="G280:G287"/>
    <mergeCell ref="H231:H234"/>
    <mergeCell ref="I231:I234"/>
    <mergeCell ref="J231:J264"/>
    <mergeCell ref="K231:K264"/>
    <mergeCell ref="B232:B234"/>
    <mergeCell ref="G232:G234"/>
    <mergeCell ref="A235:A236"/>
    <mergeCell ref="B235:B236"/>
    <mergeCell ref="G235:G236"/>
    <mergeCell ref="H235:H236"/>
    <mergeCell ref="I235:I236"/>
    <mergeCell ref="A237:A255"/>
    <mergeCell ref="H237:H255"/>
    <mergeCell ref="I237:I255"/>
    <mergeCell ref="B239:B241"/>
    <mergeCell ref="G239:G241"/>
    <mergeCell ref="I256:I261"/>
    <mergeCell ref="B258:B259"/>
    <mergeCell ref="G258:G259"/>
    <mergeCell ref="A262:A264"/>
    <mergeCell ref="G262:G263"/>
    <mergeCell ref="H262:H264"/>
    <mergeCell ref="I262:I264"/>
    <mergeCell ref="B251:B254"/>
    <mergeCell ref="I218:I223"/>
    <mergeCell ref="B220:B221"/>
    <mergeCell ref="G220:G221"/>
    <mergeCell ref="A224:A226"/>
    <mergeCell ref="G224:G225"/>
    <mergeCell ref="H224:H226"/>
    <mergeCell ref="I224:I226"/>
    <mergeCell ref="B204:B211"/>
    <mergeCell ref="G204:G211"/>
    <mergeCell ref="A218:A223"/>
    <mergeCell ref="H218:H223"/>
    <mergeCell ref="B213:B216"/>
    <mergeCell ref="G213:G216"/>
    <mergeCell ref="A180:A185"/>
    <mergeCell ref="H180:H185"/>
    <mergeCell ref="B175:B178"/>
    <mergeCell ref="G175:G178"/>
    <mergeCell ref="G191:K191"/>
    <mergeCell ref="A186:A188"/>
    <mergeCell ref="C192:D192"/>
    <mergeCell ref="A193:A196"/>
    <mergeCell ref="H193:H196"/>
    <mergeCell ref="I193:I196"/>
    <mergeCell ref="J193:J226"/>
    <mergeCell ref="K193:K226"/>
    <mergeCell ref="B194:B196"/>
    <mergeCell ref="G194:G196"/>
    <mergeCell ref="A197:A198"/>
    <mergeCell ref="B197:B198"/>
    <mergeCell ref="G197:G198"/>
    <mergeCell ref="H197:H198"/>
    <mergeCell ref="I197:I198"/>
    <mergeCell ref="A199:A217"/>
    <mergeCell ref="H199:H217"/>
    <mergeCell ref="I199:I217"/>
    <mergeCell ref="B201:B203"/>
    <mergeCell ref="B199:B200"/>
    <mergeCell ref="H142:H147"/>
    <mergeCell ref="B137:B140"/>
    <mergeCell ref="G137:G140"/>
    <mergeCell ref="H155:H158"/>
    <mergeCell ref="I155:I158"/>
    <mergeCell ref="J155:J188"/>
    <mergeCell ref="K155:K188"/>
    <mergeCell ref="B156:B158"/>
    <mergeCell ref="G156:G158"/>
    <mergeCell ref="I180:I185"/>
    <mergeCell ref="B182:B183"/>
    <mergeCell ref="G182:G183"/>
    <mergeCell ref="G186:G187"/>
    <mergeCell ref="H186:H188"/>
    <mergeCell ref="I186:I188"/>
    <mergeCell ref="G166:G173"/>
    <mergeCell ref="A159:A160"/>
    <mergeCell ref="B159:B160"/>
    <mergeCell ref="G159:G160"/>
    <mergeCell ref="H159:H160"/>
    <mergeCell ref="I159:I160"/>
    <mergeCell ref="A161:A179"/>
    <mergeCell ref="H161:H179"/>
    <mergeCell ref="I161:I179"/>
    <mergeCell ref="B163:B165"/>
    <mergeCell ref="G163:G165"/>
    <mergeCell ref="A117:A120"/>
    <mergeCell ref="H117:H120"/>
    <mergeCell ref="I117:I120"/>
    <mergeCell ref="J117:J150"/>
    <mergeCell ref="K117:K150"/>
    <mergeCell ref="B118:B120"/>
    <mergeCell ref="G118:G120"/>
    <mergeCell ref="A121:A122"/>
    <mergeCell ref="B121:B122"/>
    <mergeCell ref="G121:G122"/>
    <mergeCell ref="H121:H122"/>
    <mergeCell ref="I121:I122"/>
    <mergeCell ref="A123:A141"/>
    <mergeCell ref="H123:H141"/>
    <mergeCell ref="I123:I141"/>
    <mergeCell ref="B125:B127"/>
    <mergeCell ref="G125:G127"/>
    <mergeCell ref="I142:I147"/>
    <mergeCell ref="B144:B145"/>
    <mergeCell ref="G144:G145"/>
    <mergeCell ref="A148:A150"/>
    <mergeCell ref="G148:G149"/>
    <mergeCell ref="H148:H150"/>
    <mergeCell ref="I148:I150"/>
    <mergeCell ref="A104:A109"/>
    <mergeCell ref="H104:H109"/>
    <mergeCell ref="I104:I109"/>
    <mergeCell ref="B106:B107"/>
    <mergeCell ref="G106:G107"/>
    <mergeCell ref="G110:G111"/>
    <mergeCell ref="H110:H112"/>
    <mergeCell ref="I110:I112"/>
    <mergeCell ref="G115:K115"/>
    <mergeCell ref="A72:A74"/>
    <mergeCell ref="G72:G73"/>
    <mergeCell ref="H72:H74"/>
    <mergeCell ref="I72:I74"/>
    <mergeCell ref="B52:B59"/>
    <mergeCell ref="G52:G59"/>
    <mergeCell ref="A66:A71"/>
    <mergeCell ref="H66:H71"/>
    <mergeCell ref="G83:G84"/>
    <mergeCell ref="H83:H84"/>
    <mergeCell ref="G77:K77"/>
    <mergeCell ref="C78:D78"/>
    <mergeCell ref="A79:A82"/>
    <mergeCell ref="H79:H82"/>
    <mergeCell ref="I79:I82"/>
    <mergeCell ref="J79:J112"/>
    <mergeCell ref="K79:K112"/>
    <mergeCell ref="I83:I84"/>
    <mergeCell ref="A85:A103"/>
    <mergeCell ref="H85:H103"/>
    <mergeCell ref="I85:I103"/>
    <mergeCell ref="B87:B89"/>
    <mergeCell ref="G87:G89"/>
    <mergeCell ref="B90:B97"/>
    <mergeCell ref="A34:A36"/>
    <mergeCell ref="B14:B21"/>
    <mergeCell ref="G14:G21"/>
    <mergeCell ref="A28:A33"/>
    <mergeCell ref="H28:H33"/>
    <mergeCell ref="G39:K39"/>
    <mergeCell ref="C40:D40"/>
    <mergeCell ref="A41:A44"/>
    <mergeCell ref="H41:H44"/>
    <mergeCell ref="I41:I44"/>
    <mergeCell ref="J41:J74"/>
    <mergeCell ref="K41:K74"/>
    <mergeCell ref="B42:B44"/>
    <mergeCell ref="G42:G44"/>
    <mergeCell ref="A45:A46"/>
    <mergeCell ref="B45:B46"/>
    <mergeCell ref="G45:G46"/>
    <mergeCell ref="H45:H46"/>
    <mergeCell ref="I45:I46"/>
    <mergeCell ref="A47:A65"/>
    <mergeCell ref="H47:H65"/>
    <mergeCell ref="I47:I65"/>
    <mergeCell ref="B49:B51"/>
    <mergeCell ref="I66:I71"/>
    <mergeCell ref="B389:B390"/>
    <mergeCell ref="G389:G390"/>
    <mergeCell ref="G1:K1"/>
    <mergeCell ref="C2:D2"/>
    <mergeCell ref="A3:A6"/>
    <mergeCell ref="H3:H6"/>
    <mergeCell ref="I3:I6"/>
    <mergeCell ref="J3:J36"/>
    <mergeCell ref="K3:K36"/>
    <mergeCell ref="B4:B6"/>
    <mergeCell ref="G4:G6"/>
    <mergeCell ref="A7:A8"/>
    <mergeCell ref="B7:B8"/>
    <mergeCell ref="G7:G8"/>
    <mergeCell ref="H7:H8"/>
    <mergeCell ref="I7:I8"/>
    <mergeCell ref="A9:A27"/>
    <mergeCell ref="H9:H27"/>
    <mergeCell ref="I9:I27"/>
    <mergeCell ref="B11:B13"/>
    <mergeCell ref="G11:G13"/>
    <mergeCell ref="I28:I33"/>
    <mergeCell ref="B30:B31"/>
    <mergeCell ref="B289:B292"/>
    <mergeCell ref="G9:G10"/>
    <mergeCell ref="B9:B10"/>
    <mergeCell ref="B47:B48"/>
    <mergeCell ref="G47:G48"/>
    <mergeCell ref="B85:B86"/>
    <mergeCell ref="G85:G86"/>
    <mergeCell ref="B123:B124"/>
    <mergeCell ref="G123:G124"/>
    <mergeCell ref="B161:B162"/>
    <mergeCell ref="G161:G162"/>
    <mergeCell ref="B99:B102"/>
    <mergeCell ref="G99:G102"/>
    <mergeCell ref="B61:B64"/>
    <mergeCell ref="G61:G64"/>
    <mergeCell ref="B23:B26"/>
    <mergeCell ref="G23:G26"/>
    <mergeCell ref="B34:B35"/>
    <mergeCell ref="G30:G31"/>
    <mergeCell ref="B68:B69"/>
    <mergeCell ref="G68:G69"/>
    <mergeCell ref="G90:G97"/>
    <mergeCell ref="C116:D116"/>
    <mergeCell ref="B128:B135"/>
    <mergeCell ref="G128:G135"/>
    <mergeCell ref="I294:I299"/>
    <mergeCell ref="G251:G254"/>
    <mergeCell ref="B296:B297"/>
    <mergeCell ref="G296:G297"/>
    <mergeCell ref="B384:B386"/>
    <mergeCell ref="G384:G386"/>
    <mergeCell ref="G315:G317"/>
    <mergeCell ref="G353:G355"/>
    <mergeCell ref="G267:K267"/>
    <mergeCell ref="C268:D268"/>
    <mergeCell ref="G305:K305"/>
    <mergeCell ref="C306:D306"/>
    <mergeCell ref="B356:B363"/>
    <mergeCell ref="G356:G363"/>
    <mergeCell ref="H256:H261"/>
    <mergeCell ref="H269:H272"/>
    <mergeCell ref="I269:I272"/>
    <mergeCell ref="J269:J302"/>
    <mergeCell ref="K269:K302"/>
    <mergeCell ref="B270:B272"/>
    <mergeCell ref="G270:G272"/>
    <mergeCell ref="K307:K340"/>
    <mergeCell ref="I332:I337"/>
    <mergeCell ref="B403:B406"/>
    <mergeCell ref="G403:G406"/>
    <mergeCell ref="B365:B368"/>
    <mergeCell ref="G365:G368"/>
    <mergeCell ref="B327:B330"/>
    <mergeCell ref="G327:G330"/>
    <mergeCell ref="G34:G35"/>
    <mergeCell ref="G49:G51"/>
    <mergeCell ref="G80:G82"/>
    <mergeCell ref="G153:K153"/>
    <mergeCell ref="C154:D154"/>
    <mergeCell ref="H34:H36"/>
    <mergeCell ref="I34:I36"/>
    <mergeCell ref="J383:J416"/>
    <mergeCell ref="K383:K416"/>
    <mergeCell ref="G199:G200"/>
    <mergeCell ref="G237:G238"/>
    <mergeCell ref="G275:G276"/>
    <mergeCell ref="G313:G314"/>
    <mergeCell ref="G351:G352"/>
    <mergeCell ref="G201:G203"/>
    <mergeCell ref="G229:K229"/>
    <mergeCell ref="C230:D230"/>
    <mergeCell ref="G242:G249"/>
  </mergeCells>
  <conditionalFormatting sqref="A2:C2 I34:I35 L364:L371 L354:L360 B32:B33 C20:D20 C31:D31 A7:D7 C11:D12 A34:D34 I45 I66 I28 I47:I48 I9:I10 I7 M366:M378 L1:M5 G1 H37:K38 A40:C40 G39 I72:I73 A9:B9 C8:D8 B36:D36 D27 C50:D50 I41:I43 M343:M348 A35 C35:D35 E2:K2 E40:K40 C72:D73 C45:D46 F34:F36 F12 F7:F8 B30:F30 B68:D68 B29 L65:L76 B67 B14:D16 M51:M64 B52:D54 L151:L152 L189:L190 L227:L228 L341:L342 M417 L6:L36 L37:M50 L77:M88 L115:M126 L153:M164 L191:M202 L229:M240 L267:M278 L305:M316 I3:I5 K3:K5 A10 D65:D66 F14:F17">
    <cfRule type="beginsWith" dxfId="1698" priority="2087" stopIfTrue="1" operator="beginsWith" text="Functioning At Risk">
      <formula>LEFT(A1,LEN("Functioning At Risk"))="Functioning At Risk"</formula>
    </cfRule>
    <cfRule type="beginsWith" dxfId="1697" priority="2088" stopIfTrue="1" operator="beginsWith" text="Not Functioning">
      <formula>LEFT(A1,LEN("Not Functioning"))="Not Functioning"</formula>
    </cfRule>
    <cfRule type="containsText" dxfId="1696" priority="2089" operator="containsText" text="Functioning">
      <formula>NOT(ISERROR(SEARCH("Functioning",A1)))</formula>
    </cfRule>
  </conditionalFormatting>
  <conditionalFormatting sqref="D58">
    <cfRule type="beginsWith" dxfId="1695" priority="2078" stopIfTrue="1" operator="beginsWith" text="Functioning At Risk">
      <formula>LEFT(D58,LEN("Functioning At Risk"))="Functioning At Risk"</formula>
    </cfRule>
    <cfRule type="beginsWith" dxfId="1694" priority="2079" stopIfTrue="1" operator="beginsWith" text="Not Functioning">
      <formula>LEFT(D58,LEN("Not Functioning"))="Not Functioning"</formula>
    </cfRule>
    <cfRule type="containsText" dxfId="1693" priority="2080" operator="containsText" text="Functioning">
      <formula>NOT(ISERROR(SEARCH("Functioning",D58)))</formula>
    </cfRule>
  </conditionalFormatting>
  <conditionalFormatting sqref="C74:D74">
    <cfRule type="beginsWith" dxfId="1692" priority="2072" stopIfTrue="1" operator="beginsWith" text="Functioning At Risk">
      <formula>LEFT(C74,LEN("Functioning At Risk"))="Functioning At Risk"</formula>
    </cfRule>
    <cfRule type="beginsWith" dxfId="1691" priority="2073" stopIfTrue="1" operator="beginsWith" text="Not Functioning">
      <formula>LEFT(C74,LEN("Not Functioning"))="Not Functioning"</formula>
    </cfRule>
    <cfRule type="containsText" dxfId="1690" priority="2074" operator="containsText" text="Functioning">
      <formula>NOT(ISERROR(SEARCH("Functioning",C74)))</formula>
    </cfRule>
  </conditionalFormatting>
  <conditionalFormatting sqref="B11">
    <cfRule type="beginsWith" dxfId="1689" priority="2066" stopIfTrue="1" operator="beginsWith" text="Functioning At Risk">
      <formula>LEFT(B11,LEN("Functioning At Risk"))="Functioning At Risk"</formula>
    </cfRule>
    <cfRule type="beginsWith" dxfId="1688" priority="2067" stopIfTrue="1" operator="beginsWith" text="Not Functioning">
      <formula>LEFT(B11,LEN("Not Functioning"))="Not Functioning"</formula>
    </cfRule>
    <cfRule type="containsText" dxfId="1687" priority="2068" operator="containsText" text="Functioning">
      <formula>NOT(ISERROR(SEARCH("Functioning",B11)))</formula>
    </cfRule>
  </conditionalFormatting>
  <conditionalFormatting sqref="C51:D51">
    <cfRule type="beginsWith" dxfId="1686" priority="2063" stopIfTrue="1" operator="beginsWith" text="Functioning At Risk">
      <formula>LEFT(C51,LEN("Functioning At Risk"))="Functioning At Risk"</formula>
    </cfRule>
    <cfRule type="beginsWith" dxfId="1685" priority="2064" stopIfTrue="1" operator="beginsWith" text="Not Functioning">
      <formula>LEFT(C51,LEN("Not Functioning"))="Not Functioning"</formula>
    </cfRule>
    <cfRule type="containsText" dxfId="1684" priority="2065" operator="containsText" text="Functioning">
      <formula>NOT(ISERROR(SEARCH("Functioning",C51)))</formula>
    </cfRule>
  </conditionalFormatting>
  <conditionalFormatting sqref="B28 D28">
    <cfRule type="beginsWith" dxfId="1683" priority="2060" stopIfTrue="1" operator="beginsWith" text="Functioning At Risk">
      <formula>LEFT(B28,LEN("Functioning At Risk"))="Functioning At Risk"</formula>
    </cfRule>
    <cfRule type="beginsWith" dxfId="1682" priority="2061" stopIfTrue="1" operator="beginsWith" text="Not Functioning">
      <formula>LEFT(B28,LEN("Not Functioning"))="Not Functioning"</formula>
    </cfRule>
    <cfRule type="containsText" dxfId="1681" priority="2062" operator="containsText" text="Functioning">
      <formula>NOT(ISERROR(SEARCH("Functioning",B28)))</formula>
    </cfRule>
  </conditionalFormatting>
  <conditionalFormatting sqref="A28">
    <cfRule type="beginsWith" dxfId="1680" priority="2057" stopIfTrue="1" operator="beginsWith" text="Functioning At Risk">
      <formula>LEFT(A28,LEN("Functioning At Risk"))="Functioning At Risk"</formula>
    </cfRule>
    <cfRule type="beginsWith" dxfId="1679" priority="2058" stopIfTrue="1" operator="beginsWith" text="Not Functioning">
      <formula>LEFT(A28,LEN("Not Functioning"))="Not Functioning"</formula>
    </cfRule>
    <cfRule type="containsText" dxfId="1678" priority="2059" operator="containsText" text="Functioning">
      <formula>NOT(ISERROR(SEARCH("Functioning",A28)))</formula>
    </cfRule>
  </conditionalFormatting>
  <conditionalFormatting sqref="C69:D69">
    <cfRule type="beginsWith" dxfId="1677" priority="2054" stopIfTrue="1" operator="beginsWith" text="Functioning At Risk">
      <formula>LEFT(C69,LEN("Functioning At Risk"))="Functioning At Risk"</formula>
    </cfRule>
    <cfRule type="beginsWith" dxfId="1676" priority="2055" stopIfTrue="1" operator="beginsWith" text="Not Functioning">
      <formula>LEFT(C69,LEN("Not Functioning"))="Not Functioning"</formula>
    </cfRule>
    <cfRule type="containsText" dxfId="1675" priority="2056" operator="containsText" text="Functioning">
      <formula>NOT(ISERROR(SEARCH("Functioning",C69)))</formula>
    </cfRule>
  </conditionalFormatting>
  <conditionalFormatting sqref="C55:D55">
    <cfRule type="beginsWith" dxfId="1674" priority="2039" stopIfTrue="1" operator="beginsWith" text="Functioning At Risk">
      <formula>LEFT(C55,LEN("Functioning At Risk"))="Functioning At Risk"</formula>
    </cfRule>
    <cfRule type="beginsWith" dxfId="1673" priority="2040" stopIfTrue="1" operator="beginsWith" text="Not Functioning">
      <formula>LEFT(C55,LEN("Not Functioning"))="Not Functioning"</formula>
    </cfRule>
    <cfRule type="containsText" dxfId="1672" priority="2041" operator="containsText" text="Functioning">
      <formula>NOT(ISERROR(SEARCH("Functioning",C55)))</formula>
    </cfRule>
  </conditionalFormatting>
  <conditionalFormatting sqref="C17:D17">
    <cfRule type="beginsWith" dxfId="1671" priority="2036" stopIfTrue="1" operator="beginsWith" text="Functioning At Risk">
      <formula>LEFT(C17,LEN("Functioning At Risk"))="Functioning At Risk"</formula>
    </cfRule>
    <cfRule type="beginsWith" dxfId="1670" priority="2037" stopIfTrue="1" operator="beginsWith" text="Not Functioning">
      <formula>LEFT(C17,LEN("Not Functioning"))="Not Functioning"</formula>
    </cfRule>
    <cfRule type="containsText" dxfId="1669" priority="2038" operator="containsText" text="Functioning">
      <formula>NOT(ISERROR(SEARCH("Functioning",C17)))</formula>
    </cfRule>
  </conditionalFormatting>
  <conditionalFormatting sqref="C21:D21">
    <cfRule type="beginsWith" dxfId="1668" priority="2033" stopIfTrue="1" operator="beginsWith" text="Functioning At Risk">
      <formula>LEFT(C21,LEN("Functioning At Risk"))="Functioning At Risk"</formula>
    </cfRule>
    <cfRule type="beginsWith" dxfId="1667" priority="2034" stopIfTrue="1" operator="beginsWith" text="Not Functioning">
      <formula>LEFT(C21,LEN("Not Functioning"))="Not Functioning"</formula>
    </cfRule>
    <cfRule type="containsText" dxfId="1666" priority="2035" operator="containsText" text="Functioning">
      <formula>NOT(ISERROR(SEARCH("Functioning",C21)))</formula>
    </cfRule>
  </conditionalFormatting>
  <conditionalFormatting sqref="D59">
    <cfRule type="beginsWith" dxfId="1665" priority="2030" stopIfTrue="1" operator="beginsWith" text="Functioning At Risk">
      <formula>LEFT(D59,LEN("Functioning At Risk"))="Functioning At Risk"</formula>
    </cfRule>
    <cfRule type="beginsWith" dxfId="1664" priority="2031" stopIfTrue="1" operator="beginsWith" text="Not Functioning">
      <formula>LEFT(D59,LEN("Not Functioning"))="Not Functioning"</formula>
    </cfRule>
    <cfRule type="containsText" dxfId="1663" priority="2032" operator="containsText" text="Functioning">
      <formula>NOT(ISERROR(SEARCH("Functioning",D59)))</formula>
    </cfRule>
  </conditionalFormatting>
  <conditionalFormatting sqref="C49:D49">
    <cfRule type="beginsWith" dxfId="1662" priority="2027" stopIfTrue="1" operator="beginsWith" text="Functioning At Risk">
      <formula>LEFT(C49,LEN("Functioning At Risk"))="Functioning At Risk"</formula>
    </cfRule>
    <cfRule type="beginsWith" dxfId="1661" priority="2028" stopIfTrue="1" operator="beginsWith" text="Not Functioning">
      <formula>LEFT(C49,LEN("Not Functioning"))="Not Functioning"</formula>
    </cfRule>
    <cfRule type="containsText" dxfId="1660" priority="2029" operator="containsText" text="Functioning">
      <formula>NOT(ISERROR(SEARCH("Functioning",C49)))</formula>
    </cfRule>
  </conditionalFormatting>
  <conditionalFormatting sqref="B70:B71 A45:B45 A72:B72 A47:A48 B74 A73">
    <cfRule type="beginsWith" dxfId="1659" priority="2024" stopIfTrue="1" operator="beginsWith" text="Functioning At Risk">
      <formula>LEFT(A45,LEN("Functioning At Risk"))="Functioning At Risk"</formula>
    </cfRule>
    <cfRule type="beginsWith" dxfId="1658" priority="2025" stopIfTrue="1" operator="beginsWith" text="Not Functioning">
      <formula>LEFT(A45,LEN("Not Functioning"))="Not Functioning"</formula>
    </cfRule>
    <cfRule type="containsText" dxfId="1657" priority="2026" operator="containsText" text="Functioning">
      <formula>NOT(ISERROR(SEARCH("Functioning",A45)))</formula>
    </cfRule>
  </conditionalFormatting>
  <conditionalFormatting sqref="B49">
    <cfRule type="beginsWith" dxfId="1656" priority="2021" stopIfTrue="1" operator="beginsWith" text="Functioning At Risk">
      <formula>LEFT(B49,LEN("Functioning At Risk"))="Functioning At Risk"</formula>
    </cfRule>
    <cfRule type="beginsWith" dxfId="1655" priority="2022" stopIfTrue="1" operator="beginsWith" text="Not Functioning">
      <formula>LEFT(B49,LEN("Not Functioning"))="Not Functioning"</formula>
    </cfRule>
    <cfRule type="containsText" dxfId="1654" priority="2023" operator="containsText" text="Functioning">
      <formula>NOT(ISERROR(SEARCH("Functioning",B49)))</formula>
    </cfRule>
  </conditionalFormatting>
  <conditionalFormatting sqref="B66">
    <cfRule type="beginsWith" dxfId="1653" priority="2018" stopIfTrue="1" operator="beginsWith" text="Functioning At Risk">
      <formula>LEFT(B66,LEN("Functioning At Risk"))="Functioning At Risk"</formula>
    </cfRule>
    <cfRule type="beginsWith" dxfId="1652" priority="2019" stopIfTrue="1" operator="beginsWith" text="Not Functioning">
      <formula>LEFT(B66,LEN("Not Functioning"))="Not Functioning"</formula>
    </cfRule>
    <cfRule type="containsText" dxfId="1651" priority="2020" operator="containsText" text="Functioning">
      <formula>NOT(ISERROR(SEARCH("Functioning",B66)))</formula>
    </cfRule>
  </conditionalFormatting>
  <conditionalFormatting sqref="A66">
    <cfRule type="beginsWith" dxfId="1650" priority="2015" stopIfTrue="1" operator="beginsWith" text="Functioning At Risk">
      <formula>LEFT(A66,LEN("Functioning At Risk"))="Functioning At Risk"</formula>
    </cfRule>
    <cfRule type="beginsWith" dxfId="1649" priority="2016" stopIfTrue="1" operator="beginsWith" text="Not Functioning">
      <formula>LEFT(A66,LEN("Not Functioning"))="Not Functioning"</formula>
    </cfRule>
    <cfRule type="containsText" dxfId="1648" priority="2017" operator="containsText" text="Functioning">
      <formula>NOT(ISERROR(SEARCH("Functioning",A66)))</formula>
    </cfRule>
  </conditionalFormatting>
  <conditionalFormatting sqref="K41:K43">
    <cfRule type="beginsWith" dxfId="1647" priority="2009" stopIfTrue="1" operator="beginsWith" text="Functioning At Risk">
      <formula>LEFT(K41,LEN("Functioning At Risk"))="Functioning At Risk"</formula>
    </cfRule>
    <cfRule type="beginsWith" dxfId="1646" priority="2010" stopIfTrue="1" operator="beginsWith" text="Not Functioning">
      <formula>LEFT(K41,LEN("Not Functioning"))="Not Functioning"</formula>
    </cfRule>
    <cfRule type="containsText" dxfId="1645" priority="2011" operator="containsText" text="Functioning">
      <formula>NOT(ISERROR(SEARCH("Functioning",K41)))</formula>
    </cfRule>
  </conditionalFormatting>
  <conditionalFormatting sqref="D60">
    <cfRule type="beginsWith" dxfId="1644" priority="1916" stopIfTrue="1" operator="beginsWith" text="Functioning At Risk">
      <formula>LEFT(D60,LEN("Functioning At Risk"))="Functioning At Risk"</formula>
    </cfRule>
    <cfRule type="beginsWith" dxfId="1643" priority="1917" stopIfTrue="1" operator="beginsWith" text="Not Functioning">
      <formula>LEFT(D60,LEN("Not Functioning"))="Not Functioning"</formula>
    </cfRule>
    <cfRule type="containsText" dxfId="1642" priority="1918" operator="containsText" text="Functioning">
      <formula>NOT(ISERROR(SEARCH("Functioning",D60)))</formula>
    </cfRule>
  </conditionalFormatting>
  <conditionalFormatting sqref="C22:D22">
    <cfRule type="beginsWith" dxfId="1641" priority="1913" stopIfTrue="1" operator="beginsWith" text="Functioning At Risk">
      <formula>LEFT(C22,LEN("Functioning At Risk"))="Functioning At Risk"</formula>
    </cfRule>
    <cfRule type="beginsWith" dxfId="1640" priority="1914" stopIfTrue="1" operator="beginsWith" text="Not Functioning">
      <formula>LEFT(C22,LEN("Not Functioning"))="Not Functioning"</formula>
    </cfRule>
    <cfRule type="containsText" dxfId="1639" priority="1915" operator="containsText" text="Functioning">
      <formula>NOT(ISERROR(SEARCH("Functioning",C22)))</formula>
    </cfRule>
  </conditionalFormatting>
  <conditionalFormatting sqref="C60">
    <cfRule type="beginsWith" dxfId="1638" priority="1766" stopIfTrue="1" operator="beginsWith" text="Functioning At Risk">
      <formula>LEFT(C60,LEN("Functioning At Risk"))="Functioning At Risk"</formula>
    </cfRule>
    <cfRule type="beginsWith" dxfId="1637" priority="1767" stopIfTrue="1" operator="beginsWith" text="Not Functioning">
      <formula>LEFT(C60,LEN("Not Functioning"))="Not Functioning"</formula>
    </cfRule>
    <cfRule type="containsText" dxfId="1636" priority="1768" operator="containsText" text="Functioning">
      <formula>NOT(ISERROR(SEARCH("Functioning",C60)))</formula>
    </cfRule>
  </conditionalFormatting>
  <conditionalFormatting sqref="E20 E34:E35 E7:E8 E27:E28 E12:E16">
    <cfRule type="beginsWith" dxfId="1635" priority="1830" stopIfTrue="1" operator="beginsWith" text="Functioning At Risk">
      <formula>LEFT(E7,LEN("Functioning At Risk"))="Functioning At Risk"</formula>
    </cfRule>
    <cfRule type="beginsWith" dxfId="1634" priority="1831" stopIfTrue="1" operator="beginsWith" text="Not Functioning">
      <formula>LEFT(E7,LEN("Not Functioning"))="Not Functioning"</formula>
    </cfRule>
    <cfRule type="containsText" dxfId="1633" priority="1832" operator="containsText" text="Functioning">
      <formula>NOT(ISERROR(SEARCH("Functioning",E7)))</formula>
    </cfRule>
  </conditionalFormatting>
  <conditionalFormatting sqref="E36">
    <cfRule type="beginsWith" dxfId="1632" priority="1824" stopIfTrue="1" operator="beginsWith" text="Functioning At Risk">
      <formula>LEFT(E36,LEN("Functioning At Risk"))="Functioning At Risk"</formula>
    </cfRule>
    <cfRule type="beginsWith" dxfId="1631" priority="1825" stopIfTrue="1" operator="beginsWith" text="Not Functioning">
      <formula>LEFT(E36,LEN("Not Functioning"))="Not Functioning"</formula>
    </cfRule>
    <cfRule type="containsText" dxfId="1630" priority="1826" operator="containsText" text="Functioning">
      <formula>NOT(ISERROR(SEARCH("Functioning",E36)))</formula>
    </cfRule>
  </conditionalFormatting>
  <conditionalFormatting sqref="E11">
    <cfRule type="beginsWith" dxfId="1629" priority="1812" stopIfTrue="1" operator="beginsWith" text="Functioning At Risk">
      <formula>LEFT(E11,LEN("Functioning At Risk"))="Functioning At Risk"</formula>
    </cfRule>
    <cfRule type="beginsWith" dxfId="1628" priority="1813" stopIfTrue="1" operator="beginsWith" text="Not Functioning">
      <formula>LEFT(E11,LEN("Not Functioning"))="Not Functioning"</formula>
    </cfRule>
    <cfRule type="containsText" dxfId="1627" priority="1814" operator="containsText" text="Functioning">
      <formula>NOT(ISERROR(SEARCH("Functioning",E11)))</formula>
    </cfRule>
  </conditionalFormatting>
  <conditionalFormatting sqref="C58">
    <cfRule type="beginsWith" dxfId="1626" priority="1787" stopIfTrue="1" operator="beginsWith" text="Functioning At Risk">
      <formula>LEFT(C58,LEN("Functioning At Risk"))="Functioning At Risk"</formula>
    </cfRule>
    <cfRule type="beginsWith" dxfId="1625" priority="1788" stopIfTrue="1" operator="beginsWith" text="Not Functioning">
      <formula>LEFT(C58,LEN("Not Functioning"))="Not Functioning"</formula>
    </cfRule>
    <cfRule type="containsText" dxfId="1624" priority="1789" operator="containsText" text="Functioning">
      <formula>NOT(ISERROR(SEARCH("Functioning",C58)))</formula>
    </cfRule>
  </conditionalFormatting>
  <conditionalFormatting sqref="C59">
    <cfRule type="beginsWith" dxfId="1623" priority="1784" stopIfTrue="1" operator="beginsWith" text="Functioning At Risk">
      <formula>LEFT(C59,LEN("Functioning At Risk"))="Functioning At Risk"</formula>
    </cfRule>
    <cfRule type="beginsWith" dxfId="1622" priority="1785" stopIfTrue="1" operator="beginsWith" text="Not Functioning">
      <formula>LEFT(C59,LEN("Not Functioning"))="Not Functioning"</formula>
    </cfRule>
    <cfRule type="containsText" dxfId="1621" priority="1786" operator="containsText" text="Functioning">
      <formula>NOT(ISERROR(SEARCH("Functioning",C59)))</formula>
    </cfRule>
  </conditionalFormatting>
  <conditionalFormatting sqref="C18:D19 F18:F19">
    <cfRule type="beginsWith" dxfId="1620" priority="1781" stopIfTrue="1" operator="beginsWith" text="Functioning At Risk">
      <formula>LEFT(C18,LEN("Functioning At Risk"))="Functioning At Risk"</formula>
    </cfRule>
    <cfRule type="beginsWith" dxfId="1619" priority="1782" stopIfTrue="1" operator="beginsWith" text="Not Functioning">
      <formula>LEFT(C18,LEN("Not Functioning"))="Not Functioning"</formula>
    </cfRule>
    <cfRule type="containsText" dxfId="1618" priority="1783" operator="containsText" text="Functioning">
      <formula>NOT(ISERROR(SEARCH("Functioning",C18)))</formula>
    </cfRule>
  </conditionalFormatting>
  <conditionalFormatting sqref="E18:E19">
    <cfRule type="beginsWith" dxfId="1617" priority="1778" stopIfTrue="1" operator="beginsWith" text="Functioning At Risk">
      <formula>LEFT(E18,LEN("Functioning At Risk"))="Functioning At Risk"</formula>
    </cfRule>
    <cfRule type="beginsWith" dxfId="1616" priority="1779" stopIfTrue="1" operator="beginsWith" text="Not Functioning">
      <formula>LEFT(E18,LEN("Not Functioning"))="Not Functioning"</formula>
    </cfRule>
    <cfRule type="containsText" dxfId="1615" priority="1780" operator="containsText" text="Functioning">
      <formula>NOT(ISERROR(SEARCH("Functioning",E18)))</formula>
    </cfRule>
  </conditionalFormatting>
  <conditionalFormatting sqref="C56:D57">
    <cfRule type="beginsWith" dxfId="1614" priority="1775" stopIfTrue="1" operator="beginsWith" text="Functioning At Risk">
      <formula>LEFT(C56,LEN("Functioning At Risk"))="Functioning At Risk"</formula>
    </cfRule>
    <cfRule type="beginsWith" dxfId="1613" priority="1776" stopIfTrue="1" operator="beginsWith" text="Not Functioning">
      <formula>LEFT(C56,LEN("Not Functioning"))="Not Functioning"</formula>
    </cfRule>
    <cfRule type="containsText" dxfId="1612" priority="1777" operator="containsText" text="Functioning">
      <formula>NOT(ISERROR(SEARCH("Functioning",C56)))</formula>
    </cfRule>
  </conditionalFormatting>
  <conditionalFormatting sqref="F72:F73 F50 F45 F68 F52:F53">
    <cfRule type="beginsWith" dxfId="1611" priority="1760" stopIfTrue="1" operator="beginsWith" text="Functioning At Risk">
      <formula>LEFT(F45,LEN("Functioning At Risk"))="Functioning At Risk"</formula>
    </cfRule>
    <cfRule type="beginsWith" dxfId="1610" priority="1761" stopIfTrue="1" operator="beginsWith" text="Not Functioning">
      <formula>LEFT(F45,LEN("Not Functioning"))="Not Functioning"</formula>
    </cfRule>
    <cfRule type="containsText" dxfId="1609" priority="1762" operator="containsText" text="Functioning">
      <formula>NOT(ISERROR(SEARCH("Functioning",F45)))</formula>
    </cfRule>
  </conditionalFormatting>
  <conditionalFormatting sqref="E68">
    <cfRule type="beginsWith" dxfId="1608" priority="1722" stopIfTrue="1" operator="beginsWith" text="Functioning At Risk">
      <formula>LEFT(E68,LEN("Functioning At Risk"))="Functioning At Risk"</formula>
    </cfRule>
    <cfRule type="beginsWith" dxfId="1607" priority="1723" stopIfTrue="1" operator="beginsWith" text="Not Functioning">
      <formula>LEFT(E68,LEN("Not Functioning"))="Not Functioning"</formula>
    </cfRule>
    <cfRule type="containsText" dxfId="1606" priority="1724" operator="containsText" text="Functioning">
      <formula>NOT(ISERROR(SEARCH("Functioning",E68)))</formula>
    </cfRule>
  </conditionalFormatting>
  <conditionalFormatting sqref="F56:F57">
    <cfRule type="beginsWith" dxfId="1605" priority="1728" stopIfTrue="1" operator="beginsWith" text="Functioning At Risk">
      <formula>LEFT(F56,LEN("Functioning At Risk"))="Functioning At Risk"</formula>
    </cfRule>
    <cfRule type="beginsWith" dxfId="1604" priority="1729" stopIfTrue="1" operator="beginsWith" text="Not Functioning">
      <formula>LEFT(F56,LEN("Not Functioning"))="Not Functioning"</formula>
    </cfRule>
    <cfRule type="containsText" dxfId="1603" priority="1730" operator="containsText" text="Functioning">
      <formula>NOT(ISERROR(SEARCH("Functioning",F56)))</formula>
    </cfRule>
  </conditionalFormatting>
  <conditionalFormatting sqref="E56:E57">
    <cfRule type="beginsWith" dxfId="1602" priority="1693" stopIfTrue="1" operator="beginsWith" text="Functioning At Risk">
      <formula>LEFT(E56,LEN("Functioning At Risk"))="Functioning At Risk"</formula>
    </cfRule>
    <cfRule type="beginsWith" dxfId="1601" priority="1694" stopIfTrue="1" operator="beginsWith" text="Not Functioning">
      <formula>LEFT(E56,LEN("Not Functioning"))="Not Functioning"</formula>
    </cfRule>
    <cfRule type="containsText" dxfId="1600" priority="1695" operator="containsText" text="Functioning">
      <formula>NOT(ISERROR(SEARCH("Functioning",E56)))</formula>
    </cfRule>
  </conditionalFormatting>
  <conditionalFormatting sqref="E106">
    <cfRule type="beginsWith" dxfId="1599" priority="1618" stopIfTrue="1" operator="beginsWith" text="Functioning At Risk">
      <formula>LEFT(E106,LEN("Functioning At Risk"))="Functioning At Risk"</formula>
    </cfRule>
    <cfRule type="beginsWith" dxfId="1598" priority="1619" stopIfTrue="1" operator="beginsWith" text="Not Functioning">
      <formula>LEFT(E106,LEN("Not Functioning"))="Not Functioning"</formula>
    </cfRule>
    <cfRule type="containsText" dxfId="1597" priority="1620" operator="containsText" text="Functioning">
      <formula>NOT(ISERROR(SEARCH("Functioning",E106)))</formula>
    </cfRule>
  </conditionalFormatting>
  <conditionalFormatting sqref="E72:E73 E45:E46 E66 E50:E54">
    <cfRule type="beginsWith" dxfId="1596" priority="1719" stopIfTrue="1" operator="beginsWith" text="Functioning At Risk">
      <formula>LEFT(E45,LEN("Functioning At Risk"))="Functioning At Risk"</formula>
    </cfRule>
    <cfRule type="beginsWith" dxfId="1595" priority="1720" stopIfTrue="1" operator="beginsWith" text="Not Functioning">
      <formula>LEFT(E45,LEN("Not Functioning"))="Not Functioning"</formula>
    </cfRule>
    <cfRule type="containsText" dxfId="1594" priority="1721" operator="containsText" text="Functioning">
      <formula>NOT(ISERROR(SEARCH("Functioning",E45)))</formula>
    </cfRule>
  </conditionalFormatting>
  <conditionalFormatting sqref="E74">
    <cfRule type="beginsWith" dxfId="1593" priority="1713" stopIfTrue="1" operator="beginsWith" text="Functioning At Risk">
      <formula>LEFT(E74,LEN("Functioning At Risk"))="Functioning At Risk"</formula>
    </cfRule>
    <cfRule type="beginsWith" dxfId="1592" priority="1714" stopIfTrue="1" operator="beginsWith" text="Not Functioning">
      <formula>LEFT(E74,LEN("Not Functioning"))="Not Functioning"</formula>
    </cfRule>
    <cfRule type="containsText" dxfId="1591" priority="1715" operator="containsText" text="Functioning">
      <formula>NOT(ISERROR(SEARCH("Functioning",E74)))</formula>
    </cfRule>
  </conditionalFormatting>
  <conditionalFormatting sqref="E49">
    <cfRule type="beginsWith" dxfId="1590" priority="1701" stopIfTrue="1" operator="beginsWith" text="Functioning At Risk">
      <formula>LEFT(E49,LEN("Functioning At Risk"))="Functioning At Risk"</formula>
    </cfRule>
    <cfRule type="beginsWith" dxfId="1589" priority="1702" stopIfTrue="1" operator="beginsWith" text="Not Functioning">
      <formula>LEFT(E49,LEN("Not Functioning"))="Not Functioning"</formula>
    </cfRule>
    <cfRule type="containsText" dxfId="1588" priority="1703" operator="containsText" text="Functioning">
      <formula>NOT(ISERROR(SEARCH("Functioning",E49)))</formula>
    </cfRule>
  </conditionalFormatting>
  <conditionalFormatting sqref="E94:E95">
    <cfRule type="beginsWith" dxfId="1587" priority="1589" stopIfTrue="1" operator="beginsWith" text="Functioning At Risk">
      <formula>LEFT(E94,LEN("Functioning At Risk"))="Functioning At Risk"</formula>
    </cfRule>
    <cfRule type="beginsWith" dxfId="1586" priority="1590" stopIfTrue="1" operator="beginsWith" text="Not Functioning">
      <formula>LEFT(E94,LEN("Not Functioning"))="Not Functioning"</formula>
    </cfRule>
    <cfRule type="containsText" dxfId="1585" priority="1591" operator="containsText" text="Functioning">
      <formula>NOT(ISERROR(SEARCH("Functioning",E94)))</formula>
    </cfRule>
  </conditionalFormatting>
  <conditionalFormatting sqref="I83 I104 I85:I86 A78:C78 G77 I110:I111 C88:D88 I79:I81 E78:K78 C110:D111 C83:D84 B106:D106 L103:L112 B105 M89:M102 B90:D92 D103:D104">
    <cfRule type="beginsWith" dxfId="1584" priority="1690" stopIfTrue="1" operator="beginsWith" text="Functioning At Risk">
      <formula>LEFT(A77,LEN("Functioning At Risk"))="Functioning At Risk"</formula>
    </cfRule>
    <cfRule type="beginsWith" dxfId="1583" priority="1691" stopIfTrue="1" operator="beginsWith" text="Not Functioning">
      <formula>LEFT(A77,LEN("Not Functioning"))="Not Functioning"</formula>
    </cfRule>
    <cfRule type="containsText" dxfId="1582" priority="1692" operator="containsText" text="Functioning">
      <formula>NOT(ISERROR(SEARCH("Functioning",A77)))</formula>
    </cfRule>
  </conditionalFormatting>
  <conditionalFormatting sqref="D96">
    <cfRule type="beginsWith" dxfId="1581" priority="1687" stopIfTrue="1" operator="beginsWith" text="Functioning At Risk">
      <formula>LEFT(D96,LEN("Functioning At Risk"))="Functioning At Risk"</formula>
    </cfRule>
    <cfRule type="beginsWith" dxfId="1580" priority="1688" stopIfTrue="1" operator="beginsWith" text="Not Functioning">
      <formula>LEFT(D96,LEN("Not Functioning"))="Not Functioning"</formula>
    </cfRule>
    <cfRule type="containsText" dxfId="1579" priority="1689" operator="containsText" text="Functioning">
      <formula>NOT(ISERROR(SEARCH("Functioning",D96)))</formula>
    </cfRule>
  </conditionalFormatting>
  <conditionalFormatting sqref="C112:D112">
    <cfRule type="beginsWith" dxfId="1578" priority="1684" stopIfTrue="1" operator="beginsWith" text="Functioning At Risk">
      <formula>LEFT(C112,LEN("Functioning At Risk"))="Functioning At Risk"</formula>
    </cfRule>
    <cfRule type="beginsWith" dxfId="1577" priority="1685" stopIfTrue="1" operator="beginsWith" text="Not Functioning">
      <formula>LEFT(C112,LEN("Not Functioning"))="Not Functioning"</formula>
    </cfRule>
    <cfRule type="containsText" dxfId="1576" priority="1686" operator="containsText" text="Functioning">
      <formula>NOT(ISERROR(SEARCH("Functioning",C112)))</formula>
    </cfRule>
  </conditionalFormatting>
  <conditionalFormatting sqref="C89:D89">
    <cfRule type="beginsWith" dxfId="1575" priority="1681" stopIfTrue="1" operator="beginsWith" text="Functioning At Risk">
      <formula>LEFT(C89,LEN("Functioning At Risk"))="Functioning At Risk"</formula>
    </cfRule>
    <cfRule type="beginsWith" dxfId="1574" priority="1682" stopIfTrue="1" operator="beginsWith" text="Not Functioning">
      <formula>LEFT(C89,LEN("Not Functioning"))="Not Functioning"</formula>
    </cfRule>
    <cfRule type="containsText" dxfId="1573" priority="1683" operator="containsText" text="Functioning">
      <formula>NOT(ISERROR(SEARCH("Functioning",C89)))</formula>
    </cfRule>
  </conditionalFormatting>
  <conditionalFormatting sqref="C107:D107">
    <cfRule type="beginsWith" dxfId="1572" priority="1678" stopIfTrue="1" operator="beginsWith" text="Functioning At Risk">
      <formula>LEFT(C107,LEN("Functioning At Risk"))="Functioning At Risk"</formula>
    </cfRule>
    <cfRule type="beginsWith" dxfId="1571" priority="1679" stopIfTrue="1" operator="beginsWith" text="Not Functioning">
      <formula>LEFT(C107,LEN("Not Functioning"))="Not Functioning"</formula>
    </cfRule>
    <cfRule type="containsText" dxfId="1570" priority="1680" operator="containsText" text="Functioning">
      <formula>NOT(ISERROR(SEARCH("Functioning",C107)))</formula>
    </cfRule>
  </conditionalFormatting>
  <conditionalFormatting sqref="C93:D93">
    <cfRule type="beginsWith" dxfId="1569" priority="1675" stopIfTrue="1" operator="beginsWith" text="Functioning At Risk">
      <formula>LEFT(C93,LEN("Functioning At Risk"))="Functioning At Risk"</formula>
    </cfRule>
    <cfRule type="beginsWith" dxfId="1568" priority="1676" stopIfTrue="1" operator="beginsWith" text="Not Functioning">
      <formula>LEFT(C93,LEN("Not Functioning"))="Not Functioning"</formula>
    </cfRule>
    <cfRule type="containsText" dxfId="1567" priority="1677" operator="containsText" text="Functioning">
      <formula>NOT(ISERROR(SEARCH("Functioning",C93)))</formula>
    </cfRule>
  </conditionalFormatting>
  <conditionalFormatting sqref="D97">
    <cfRule type="beginsWith" dxfId="1566" priority="1672" stopIfTrue="1" operator="beginsWith" text="Functioning At Risk">
      <formula>LEFT(D97,LEN("Functioning At Risk"))="Functioning At Risk"</formula>
    </cfRule>
    <cfRule type="beginsWith" dxfId="1565" priority="1673" stopIfTrue="1" operator="beginsWith" text="Not Functioning">
      <formula>LEFT(D97,LEN("Not Functioning"))="Not Functioning"</formula>
    </cfRule>
    <cfRule type="containsText" dxfId="1564" priority="1674" operator="containsText" text="Functioning">
      <formula>NOT(ISERROR(SEARCH("Functioning",D97)))</formula>
    </cfRule>
  </conditionalFormatting>
  <conditionalFormatting sqref="C87:D87">
    <cfRule type="beginsWith" dxfId="1563" priority="1669" stopIfTrue="1" operator="beginsWith" text="Functioning At Risk">
      <formula>LEFT(C87,LEN("Functioning At Risk"))="Functioning At Risk"</formula>
    </cfRule>
    <cfRule type="beginsWith" dxfId="1562" priority="1670" stopIfTrue="1" operator="beginsWith" text="Not Functioning">
      <formula>LEFT(C87,LEN("Not Functioning"))="Not Functioning"</formula>
    </cfRule>
    <cfRule type="containsText" dxfId="1561" priority="1671" operator="containsText" text="Functioning">
      <formula>NOT(ISERROR(SEARCH("Functioning",C87)))</formula>
    </cfRule>
  </conditionalFormatting>
  <conditionalFormatting sqref="B108:B109 A83:B83 A110:B110 A85:A86 B112 A111">
    <cfRule type="beginsWith" dxfId="1560" priority="1666" stopIfTrue="1" operator="beginsWith" text="Functioning At Risk">
      <formula>LEFT(A83,LEN("Functioning At Risk"))="Functioning At Risk"</formula>
    </cfRule>
    <cfRule type="beginsWith" dxfId="1559" priority="1667" stopIfTrue="1" operator="beginsWith" text="Not Functioning">
      <formula>LEFT(A83,LEN("Not Functioning"))="Not Functioning"</formula>
    </cfRule>
    <cfRule type="containsText" dxfId="1558" priority="1668" operator="containsText" text="Functioning">
      <formula>NOT(ISERROR(SEARCH("Functioning",A83)))</formula>
    </cfRule>
  </conditionalFormatting>
  <conditionalFormatting sqref="B87">
    <cfRule type="beginsWith" dxfId="1557" priority="1663" stopIfTrue="1" operator="beginsWith" text="Functioning At Risk">
      <formula>LEFT(B87,LEN("Functioning At Risk"))="Functioning At Risk"</formula>
    </cfRule>
    <cfRule type="beginsWith" dxfId="1556" priority="1664" stopIfTrue="1" operator="beginsWith" text="Not Functioning">
      <formula>LEFT(B87,LEN("Not Functioning"))="Not Functioning"</formula>
    </cfRule>
    <cfRule type="containsText" dxfId="1555" priority="1665" operator="containsText" text="Functioning">
      <formula>NOT(ISERROR(SEARCH("Functioning",B87)))</formula>
    </cfRule>
  </conditionalFormatting>
  <conditionalFormatting sqref="B104">
    <cfRule type="beginsWith" dxfId="1554" priority="1660" stopIfTrue="1" operator="beginsWith" text="Functioning At Risk">
      <formula>LEFT(B104,LEN("Functioning At Risk"))="Functioning At Risk"</formula>
    </cfRule>
    <cfRule type="beginsWith" dxfId="1553" priority="1661" stopIfTrue="1" operator="beginsWith" text="Not Functioning">
      <formula>LEFT(B104,LEN("Not Functioning"))="Not Functioning"</formula>
    </cfRule>
    <cfRule type="containsText" dxfId="1552" priority="1662" operator="containsText" text="Functioning">
      <formula>NOT(ISERROR(SEARCH("Functioning",B104)))</formula>
    </cfRule>
  </conditionalFormatting>
  <conditionalFormatting sqref="A104">
    <cfRule type="beginsWith" dxfId="1551" priority="1657" stopIfTrue="1" operator="beginsWith" text="Functioning At Risk">
      <formula>LEFT(A104,LEN("Functioning At Risk"))="Functioning At Risk"</formula>
    </cfRule>
    <cfRule type="beginsWith" dxfId="1550" priority="1658" stopIfTrue="1" operator="beginsWith" text="Not Functioning">
      <formula>LEFT(A104,LEN("Not Functioning"))="Not Functioning"</formula>
    </cfRule>
    <cfRule type="containsText" dxfId="1549" priority="1659" operator="containsText" text="Functioning">
      <formula>NOT(ISERROR(SEARCH("Functioning",A104)))</formula>
    </cfRule>
  </conditionalFormatting>
  <conditionalFormatting sqref="K79:K81">
    <cfRule type="beginsWith" dxfId="1548" priority="1651" stopIfTrue="1" operator="beginsWith" text="Functioning At Risk">
      <formula>LEFT(K79,LEN("Functioning At Risk"))="Functioning At Risk"</formula>
    </cfRule>
    <cfRule type="beginsWith" dxfId="1547" priority="1652" stopIfTrue="1" operator="beginsWith" text="Not Functioning">
      <formula>LEFT(K79,LEN("Not Functioning"))="Not Functioning"</formula>
    </cfRule>
    <cfRule type="containsText" dxfId="1546" priority="1653" operator="containsText" text="Functioning">
      <formula>NOT(ISERROR(SEARCH("Functioning",K79)))</formula>
    </cfRule>
  </conditionalFormatting>
  <conditionalFormatting sqref="D98">
    <cfRule type="beginsWith" dxfId="1545" priority="1648" stopIfTrue="1" operator="beginsWith" text="Functioning At Risk">
      <formula>LEFT(D98,LEN("Functioning At Risk"))="Functioning At Risk"</formula>
    </cfRule>
    <cfRule type="beginsWith" dxfId="1544" priority="1649" stopIfTrue="1" operator="beginsWith" text="Not Functioning">
      <formula>LEFT(D98,LEN("Not Functioning"))="Not Functioning"</formula>
    </cfRule>
    <cfRule type="containsText" dxfId="1543" priority="1650" operator="containsText" text="Functioning">
      <formula>NOT(ISERROR(SEARCH("Functioning",D98)))</formula>
    </cfRule>
  </conditionalFormatting>
  <conditionalFormatting sqref="C98">
    <cfRule type="beginsWith" dxfId="1542" priority="1633" stopIfTrue="1" operator="beginsWith" text="Functioning At Risk">
      <formula>LEFT(C98,LEN("Functioning At Risk"))="Functioning At Risk"</formula>
    </cfRule>
    <cfRule type="beginsWith" dxfId="1541" priority="1634" stopIfTrue="1" operator="beginsWith" text="Not Functioning">
      <formula>LEFT(C98,LEN("Not Functioning"))="Not Functioning"</formula>
    </cfRule>
    <cfRule type="containsText" dxfId="1540" priority="1635" operator="containsText" text="Functioning">
      <formula>NOT(ISERROR(SEARCH("Functioning",C98)))</formula>
    </cfRule>
  </conditionalFormatting>
  <conditionalFormatting sqref="C96">
    <cfRule type="beginsWith" dxfId="1539" priority="1642" stopIfTrue="1" operator="beginsWith" text="Functioning At Risk">
      <formula>LEFT(C96,LEN("Functioning At Risk"))="Functioning At Risk"</formula>
    </cfRule>
    <cfRule type="beginsWith" dxfId="1538" priority="1643" stopIfTrue="1" operator="beginsWith" text="Not Functioning">
      <formula>LEFT(C96,LEN("Not Functioning"))="Not Functioning"</formula>
    </cfRule>
    <cfRule type="containsText" dxfId="1537" priority="1644" operator="containsText" text="Functioning">
      <formula>NOT(ISERROR(SEARCH("Functioning",C96)))</formula>
    </cfRule>
  </conditionalFormatting>
  <conditionalFormatting sqref="C97">
    <cfRule type="beginsWith" dxfId="1536" priority="1639" stopIfTrue="1" operator="beginsWith" text="Functioning At Risk">
      <formula>LEFT(C97,LEN("Functioning At Risk"))="Functioning At Risk"</formula>
    </cfRule>
    <cfRule type="beginsWith" dxfId="1535" priority="1640" stopIfTrue="1" operator="beginsWith" text="Not Functioning">
      <formula>LEFT(C97,LEN("Not Functioning"))="Not Functioning"</formula>
    </cfRule>
    <cfRule type="containsText" dxfId="1534" priority="1641" operator="containsText" text="Functioning">
      <formula>NOT(ISERROR(SEARCH("Functioning",C97)))</formula>
    </cfRule>
  </conditionalFormatting>
  <conditionalFormatting sqref="C94:D95">
    <cfRule type="beginsWith" dxfId="1533" priority="1636" stopIfTrue="1" operator="beginsWith" text="Functioning At Risk">
      <formula>LEFT(C94,LEN("Functioning At Risk"))="Functioning At Risk"</formula>
    </cfRule>
    <cfRule type="beginsWith" dxfId="1532" priority="1637" stopIfTrue="1" operator="beginsWith" text="Not Functioning">
      <formula>LEFT(C94,LEN("Not Functioning"))="Not Functioning"</formula>
    </cfRule>
    <cfRule type="containsText" dxfId="1531" priority="1638" operator="containsText" text="Functioning">
      <formula>NOT(ISERROR(SEARCH("Functioning",C94)))</formula>
    </cfRule>
  </conditionalFormatting>
  <conditionalFormatting sqref="F110:F111 F88 F83 F106 F90:F91">
    <cfRule type="beginsWith" dxfId="1530" priority="1627" stopIfTrue="1" operator="beginsWith" text="Functioning At Risk">
      <formula>LEFT(F83,LEN("Functioning At Risk"))="Functioning At Risk"</formula>
    </cfRule>
    <cfRule type="beginsWith" dxfId="1529" priority="1628" stopIfTrue="1" operator="beginsWith" text="Not Functioning">
      <formula>LEFT(F83,LEN("Not Functioning"))="Not Functioning"</formula>
    </cfRule>
    <cfRule type="containsText" dxfId="1528" priority="1629" operator="containsText" text="Functioning">
      <formula>NOT(ISERROR(SEARCH("Functioning",F83)))</formula>
    </cfRule>
  </conditionalFormatting>
  <conditionalFormatting sqref="F94:F95">
    <cfRule type="beginsWith" dxfId="1527" priority="1621" stopIfTrue="1" operator="beginsWith" text="Functioning At Risk">
      <formula>LEFT(F94,LEN("Functioning At Risk"))="Functioning At Risk"</formula>
    </cfRule>
    <cfRule type="beginsWith" dxfId="1526" priority="1622" stopIfTrue="1" operator="beginsWith" text="Not Functioning">
      <formula>LEFT(F94,LEN("Not Functioning"))="Not Functioning"</formula>
    </cfRule>
    <cfRule type="containsText" dxfId="1525" priority="1623" operator="containsText" text="Functioning">
      <formula>NOT(ISERROR(SEARCH("Functioning",F94)))</formula>
    </cfRule>
  </conditionalFormatting>
  <conditionalFormatting sqref="E110:E111 E83:E84 E104 E88:E92">
    <cfRule type="beginsWith" dxfId="1524" priority="1615" stopIfTrue="1" operator="beginsWith" text="Functioning At Risk">
      <formula>LEFT(E83,LEN("Functioning At Risk"))="Functioning At Risk"</formula>
    </cfRule>
    <cfRule type="beginsWith" dxfId="1523" priority="1616" stopIfTrue="1" operator="beginsWith" text="Not Functioning">
      <formula>LEFT(E83,LEN("Not Functioning"))="Not Functioning"</formula>
    </cfRule>
    <cfRule type="containsText" dxfId="1522" priority="1617" operator="containsText" text="Functioning">
      <formula>NOT(ISERROR(SEARCH("Functioning",E83)))</formula>
    </cfRule>
  </conditionalFormatting>
  <conditionalFormatting sqref="E106">
    <cfRule type="expression" dxfId="1521" priority="1613">
      <formula>B37="Level 5 - Biology"</formula>
    </cfRule>
    <cfRule type="expression" dxfId="1520" priority="1614">
      <formula>B37="Level 4 - Physicochemical"</formula>
    </cfRule>
  </conditionalFormatting>
  <conditionalFormatting sqref="E110:E111">
    <cfRule type="expression" dxfId="1519" priority="1612">
      <formula>B37="Level 5 - Biology"</formula>
    </cfRule>
  </conditionalFormatting>
  <conditionalFormatting sqref="E112">
    <cfRule type="beginsWith" dxfId="1518" priority="1609" stopIfTrue="1" operator="beginsWith" text="Functioning At Risk">
      <formula>LEFT(E112,LEN("Functioning At Risk"))="Functioning At Risk"</formula>
    </cfRule>
    <cfRule type="beginsWith" dxfId="1517" priority="1610" stopIfTrue="1" operator="beginsWith" text="Not Functioning">
      <formula>LEFT(E112,LEN("Not Functioning"))="Not Functioning"</formula>
    </cfRule>
    <cfRule type="containsText" dxfId="1516" priority="1611" operator="containsText" text="Functioning">
      <formula>NOT(ISERROR(SEARCH("Functioning",E112)))</formula>
    </cfRule>
  </conditionalFormatting>
  <conditionalFormatting sqref="E104">
    <cfRule type="expression" dxfId="1515" priority="1603">
      <formula>B37="Level 4 - Physicochemical"</formula>
    </cfRule>
    <cfRule type="expression" dxfId="1514" priority="1608">
      <formula>B37="Level 5 - Biology"</formula>
    </cfRule>
  </conditionalFormatting>
  <conditionalFormatting sqref="E107">
    <cfRule type="expression" dxfId="1513" priority="1602">
      <formula>B37="Level 4 - Physicochemical"</formula>
    </cfRule>
    <cfRule type="expression" dxfId="1512" priority="1607">
      <formula>B37="Level 5 - Biology"</formula>
    </cfRule>
  </conditionalFormatting>
  <conditionalFormatting sqref="E108">
    <cfRule type="expression" dxfId="1511" priority="1601">
      <formula>B37="Level 4 - Physicochemical"</formula>
    </cfRule>
    <cfRule type="expression" dxfId="1510" priority="1606">
      <formula>B37="Level 5 - Biology"</formula>
    </cfRule>
  </conditionalFormatting>
  <conditionalFormatting sqref="E109">
    <cfRule type="expression" dxfId="1509" priority="1600">
      <formula>B37="Level 4 - Physicochemical"</formula>
    </cfRule>
    <cfRule type="expression" dxfId="1508" priority="1605">
      <formula>B37="Level 5 - Biology"</formula>
    </cfRule>
  </conditionalFormatting>
  <conditionalFormatting sqref="E112">
    <cfRule type="expression" dxfId="1507" priority="1604">
      <formula>B37="Level 5 - Biology"</formula>
    </cfRule>
  </conditionalFormatting>
  <conditionalFormatting sqref="E87">
    <cfRule type="beginsWith" dxfId="1506" priority="1597" stopIfTrue="1" operator="beginsWith" text="Functioning At Risk">
      <formula>LEFT(E87,LEN("Functioning At Risk"))="Functioning At Risk"</formula>
    </cfRule>
    <cfRule type="beginsWith" dxfId="1505" priority="1598" stopIfTrue="1" operator="beginsWith" text="Not Functioning">
      <formula>LEFT(E87,LEN("Not Functioning"))="Not Functioning"</formula>
    </cfRule>
    <cfRule type="containsText" dxfId="1504" priority="1599" operator="containsText" text="Functioning">
      <formula>NOT(ISERROR(SEARCH("Functioning",E87)))</formula>
    </cfRule>
  </conditionalFormatting>
  <conditionalFormatting sqref="E105">
    <cfRule type="expression" dxfId="1503" priority="1592">
      <formula>B37="Level 5 - Biology"</formula>
    </cfRule>
    <cfRule type="expression" dxfId="1502" priority="1593">
      <formula>B37="Level 4 - Physicochemical"</formula>
    </cfRule>
    <cfRule type="beginsWith" dxfId="1501" priority="1594" stopIfTrue="1" operator="beginsWith" text="Functioning At Risk">
      <formula>LEFT(E105,LEN("Functioning At Risk"))="Functioning At Risk"</formula>
    </cfRule>
    <cfRule type="beginsWith" dxfId="1500" priority="1595" stopIfTrue="1" operator="beginsWith" text="Not Functioning">
      <formula>LEFT(E105,LEN("Not Functioning"))="Not Functioning"</formula>
    </cfRule>
    <cfRule type="containsText" dxfId="1499" priority="1596" operator="containsText" text="Functioning">
      <formula>NOT(ISERROR(SEARCH("Functioning",E105)))</formula>
    </cfRule>
  </conditionalFormatting>
  <conditionalFormatting sqref="E68">
    <cfRule type="expression" dxfId="1498" priority="2404">
      <formula>#REF!="Level 5 - Biology"</formula>
    </cfRule>
    <cfRule type="expression" dxfId="1497" priority="2405">
      <formula>#REF!="Level 4 - Physicochemical"</formula>
    </cfRule>
  </conditionalFormatting>
  <conditionalFormatting sqref="E72:E73">
    <cfRule type="expression" dxfId="1496" priority="2406">
      <formula>#REF!="Level 5 - Biology"</formula>
    </cfRule>
  </conditionalFormatting>
  <conditionalFormatting sqref="E66">
    <cfRule type="expression" dxfId="1495" priority="2407">
      <formula>#REF!="Level 4 - Physicochemical"</formula>
    </cfRule>
    <cfRule type="expression" dxfId="1494" priority="2408">
      <formula>#REF!="Level 5 - Biology"</formula>
    </cfRule>
  </conditionalFormatting>
  <conditionalFormatting sqref="E69">
    <cfRule type="expression" dxfId="1493" priority="2409">
      <formula>#REF!="Level 4 - Physicochemical"</formula>
    </cfRule>
    <cfRule type="expression" dxfId="1492" priority="2410">
      <formula>#REF!="Level 5 - Biology"</formula>
    </cfRule>
  </conditionalFormatting>
  <conditionalFormatting sqref="E70">
    <cfRule type="expression" dxfId="1491" priority="2411">
      <formula>#REF!="Level 4 - Physicochemical"</formula>
    </cfRule>
    <cfRule type="expression" dxfId="1490" priority="2412">
      <formula>#REF!="Level 5 - Biology"</formula>
    </cfRule>
  </conditionalFormatting>
  <conditionalFormatting sqref="E71">
    <cfRule type="expression" dxfId="1489" priority="2413">
      <formula>#REF!="Level 4 - Physicochemical"</formula>
    </cfRule>
    <cfRule type="expression" dxfId="1488" priority="2414">
      <formula>#REF!="Level 5 - Biology"</formula>
    </cfRule>
  </conditionalFormatting>
  <conditionalFormatting sqref="E74">
    <cfRule type="expression" dxfId="1487" priority="2415">
      <formula>#REF!="Level 5 - Biology"</formula>
    </cfRule>
  </conditionalFormatting>
  <conditionalFormatting sqref="E67">
    <cfRule type="expression" dxfId="1486" priority="2416">
      <formula>#REF!="Level 5 - Biology"</formula>
    </cfRule>
    <cfRule type="expression" dxfId="1485" priority="2417">
      <formula>#REF!="Level 4 - Physicochemical"</formula>
    </cfRule>
    <cfRule type="beginsWith" dxfId="1484" priority="2418" stopIfTrue="1" operator="beginsWith" text="Functioning At Risk">
      <formula>LEFT(E67,LEN("Functioning At Risk"))="Functioning At Risk"</formula>
    </cfRule>
    <cfRule type="beginsWith" dxfId="1483" priority="2419" stopIfTrue="1" operator="beginsWith" text="Not Functioning">
      <formula>LEFT(E67,LEN("Not Functioning"))="Not Functioning"</formula>
    </cfRule>
    <cfRule type="containsText" dxfId="1482" priority="2420" operator="containsText" text="Functioning">
      <formula>NOT(ISERROR(SEARCH("Functioning",E67)))</formula>
    </cfRule>
  </conditionalFormatting>
  <conditionalFormatting sqref="E30">
    <cfRule type="expression" dxfId="1481" priority="2421">
      <formula>#REF!="Level 5 - Biology"</formula>
    </cfRule>
    <cfRule type="expression" dxfId="1480" priority="2422">
      <formula>#REF!="Level 4 - Physicochemical"</formula>
    </cfRule>
  </conditionalFormatting>
  <conditionalFormatting sqref="E34:E35">
    <cfRule type="expression" dxfId="1479" priority="2423">
      <formula>#REF!="Level 5 - Biology"</formula>
    </cfRule>
  </conditionalFormatting>
  <conditionalFormatting sqref="E28">
    <cfRule type="expression" dxfId="1478" priority="2424">
      <formula>#REF!="Level 4 - Physicochemical"</formula>
    </cfRule>
    <cfRule type="expression" dxfId="1477" priority="2425">
      <formula>#REF!="Level 5 - Biology"</formula>
    </cfRule>
  </conditionalFormatting>
  <conditionalFormatting sqref="E31">
    <cfRule type="expression" dxfId="1476" priority="2426">
      <formula>#REF!="Level 4 - Physicochemical"</formula>
    </cfRule>
    <cfRule type="expression" dxfId="1475" priority="2427">
      <formula>#REF!="Level 5 - Biology"</formula>
    </cfRule>
  </conditionalFormatting>
  <conditionalFormatting sqref="E32">
    <cfRule type="expression" dxfId="1474" priority="2428">
      <formula>#REF!="Level 4 - Physicochemical"</formula>
    </cfRule>
    <cfRule type="expression" dxfId="1473" priority="2429">
      <formula>#REF!="Level 5 - Biology"</formula>
    </cfRule>
  </conditionalFormatting>
  <conditionalFormatting sqref="E33">
    <cfRule type="expression" dxfId="1472" priority="2430">
      <formula>#REF!="Level 4 - Physicochemical"</formula>
    </cfRule>
    <cfRule type="expression" dxfId="1471" priority="2431">
      <formula>#REF!="Level 5 - Biology"</formula>
    </cfRule>
  </conditionalFormatting>
  <conditionalFormatting sqref="E36">
    <cfRule type="expression" dxfId="1470" priority="2432">
      <formula>#REF!="Level 5 - Biology"</formula>
    </cfRule>
  </conditionalFormatting>
  <conditionalFormatting sqref="E29">
    <cfRule type="expression" dxfId="1469" priority="2433">
      <formula>#REF!="Level 5 - Biology"</formula>
    </cfRule>
    <cfRule type="expression" dxfId="1468" priority="2434">
      <formula>#REF!="Level 4 - Physicochemical"</formula>
    </cfRule>
    <cfRule type="beginsWith" dxfId="1467" priority="2435" stopIfTrue="1" operator="beginsWith" text="Functioning At Risk">
      <formula>LEFT(E29,LEN("Functioning At Risk"))="Functioning At Risk"</formula>
    </cfRule>
    <cfRule type="beginsWith" dxfId="1466" priority="2436" stopIfTrue="1" operator="beginsWith" text="Not Functioning">
      <formula>LEFT(E29,LEN("Not Functioning"))="Not Functioning"</formula>
    </cfRule>
    <cfRule type="containsText" dxfId="1465" priority="2437" operator="containsText" text="Functioning">
      <formula>NOT(ISERROR(SEARCH("Functioning",E29)))</formula>
    </cfRule>
  </conditionalFormatting>
  <conditionalFormatting sqref="L113:L114">
    <cfRule type="beginsWith" dxfId="1464" priority="1586" stopIfTrue="1" operator="beginsWith" text="Functioning At Risk">
      <formula>LEFT(L113,LEN("Functioning At Risk"))="Functioning At Risk"</formula>
    </cfRule>
    <cfRule type="beginsWith" dxfId="1463" priority="1587" stopIfTrue="1" operator="beginsWith" text="Not Functioning">
      <formula>LEFT(L113,LEN("Not Functioning"))="Not Functioning"</formula>
    </cfRule>
    <cfRule type="containsText" dxfId="1462" priority="1588" operator="containsText" text="Functioning">
      <formula>NOT(ISERROR(SEARCH("Functioning",L113)))</formula>
    </cfRule>
  </conditionalFormatting>
  <conditionalFormatting sqref="E144">
    <cfRule type="beginsWith" dxfId="1461" priority="1511" stopIfTrue="1" operator="beginsWith" text="Functioning At Risk">
      <formula>LEFT(E144,LEN("Functioning At Risk"))="Functioning At Risk"</formula>
    </cfRule>
    <cfRule type="beginsWith" dxfId="1460" priority="1512" stopIfTrue="1" operator="beginsWith" text="Not Functioning">
      <formula>LEFT(E144,LEN("Not Functioning"))="Not Functioning"</formula>
    </cfRule>
    <cfRule type="containsText" dxfId="1459" priority="1513" operator="containsText" text="Functioning">
      <formula>NOT(ISERROR(SEARCH("Functioning",E144)))</formula>
    </cfRule>
  </conditionalFormatting>
  <conditionalFormatting sqref="E132:E133">
    <cfRule type="beginsWith" dxfId="1458" priority="1482" stopIfTrue="1" operator="beginsWith" text="Functioning At Risk">
      <formula>LEFT(E132,LEN("Functioning At Risk"))="Functioning At Risk"</formula>
    </cfRule>
    <cfRule type="beginsWith" dxfId="1457" priority="1483" stopIfTrue="1" operator="beginsWith" text="Not Functioning">
      <formula>LEFT(E132,LEN("Not Functioning"))="Not Functioning"</formula>
    </cfRule>
    <cfRule type="containsText" dxfId="1456" priority="1484" operator="containsText" text="Functioning">
      <formula>NOT(ISERROR(SEARCH("Functioning",E132)))</formula>
    </cfRule>
  </conditionalFormatting>
  <conditionalFormatting sqref="I121 I142 I123:I124 A116:C116 G115 I148:I149 C126:D126 I117:I119 E116:K116 C148:D149 C121:D122 B144:D144 L141:L150 B143 M127:M140 B128:D130 D141:D142">
    <cfRule type="beginsWith" dxfId="1455" priority="1583" stopIfTrue="1" operator="beginsWith" text="Functioning At Risk">
      <formula>LEFT(A115,LEN("Functioning At Risk"))="Functioning At Risk"</formula>
    </cfRule>
    <cfRule type="beginsWith" dxfId="1454" priority="1584" stopIfTrue="1" operator="beginsWith" text="Not Functioning">
      <formula>LEFT(A115,LEN("Not Functioning"))="Not Functioning"</formula>
    </cfRule>
    <cfRule type="containsText" dxfId="1453" priority="1585" operator="containsText" text="Functioning">
      <formula>NOT(ISERROR(SEARCH("Functioning",A115)))</formula>
    </cfRule>
  </conditionalFormatting>
  <conditionalFormatting sqref="D134">
    <cfRule type="beginsWith" dxfId="1452" priority="1580" stopIfTrue="1" operator="beginsWith" text="Functioning At Risk">
      <formula>LEFT(D134,LEN("Functioning At Risk"))="Functioning At Risk"</formula>
    </cfRule>
    <cfRule type="beginsWith" dxfId="1451" priority="1581" stopIfTrue="1" operator="beginsWith" text="Not Functioning">
      <formula>LEFT(D134,LEN("Not Functioning"))="Not Functioning"</formula>
    </cfRule>
    <cfRule type="containsText" dxfId="1450" priority="1582" operator="containsText" text="Functioning">
      <formula>NOT(ISERROR(SEARCH("Functioning",D134)))</formula>
    </cfRule>
  </conditionalFormatting>
  <conditionalFormatting sqref="C150:D150">
    <cfRule type="beginsWith" dxfId="1449" priority="1577" stopIfTrue="1" operator="beginsWith" text="Functioning At Risk">
      <formula>LEFT(C150,LEN("Functioning At Risk"))="Functioning At Risk"</formula>
    </cfRule>
    <cfRule type="beginsWith" dxfId="1448" priority="1578" stopIfTrue="1" operator="beginsWith" text="Not Functioning">
      <formula>LEFT(C150,LEN("Not Functioning"))="Not Functioning"</formula>
    </cfRule>
    <cfRule type="containsText" dxfId="1447" priority="1579" operator="containsText" text="Functioning">
      <formula>NOT(ISERROR(SEARCH("Functioning",C150)))</formula>
    </cfRule>
  </conditionalFormatting>
  <conditionalFormatting sqref="C127:D127">
    <cfRule type="beginsWith" dxfId="1446" priority="1574" stopIfTrue="1" operator="beginsWith" text="Functioning At Risk">
      <formula>LEFT(C127,LEN("Functioning At Risk"))="Functioning At Risk"</formula>
    </cfRule>
    <cfRule type="beginsWith" dxfId="1445" priority="1575" stopIfTrue="1" operator="beginsWith" text="Not Functioning">
      <formula>LEFT(C127,LEN("Not Functioning"))="Not Functioning"</formula>
    </cfRule>
    <cfRule type="containsText" dxfId="1444" priority="1576" operator="containsText" text="Functioning">
      <formula>NOT(ISERROR(SEARCH("Functioning",C127)))</formula>
    </cfRule>
  </conditionalFormatting>
  <conditionalFormatting sqref="C145:D145">
    <cfRule type="beginsWith" dxfId="1443" priority="1571" stopIfTrue="1" operator="beginsWith" text="Functioning At Risk">
      <formula>LEFT(C145,LEN("Functioning At Risk"))="Functioning At Risk"</formula>
    </cfRule>
    <cfRule type="beginsWith" dxfId="1442" priority="1572" stopIfTrue="1" operator="beginsWith" text="Not Functioning">
      <formula>LEFT(C145,LEN("Not Functioning"))="Not Functioning"</formula>
    </cfRule>
    <cfRule type="containsText" dxfId="1441" priority="1573" operator="containsText" text="Functioning">
      <formula>NOT(ISERROR(SEARCH("Functioning",C145)))</formula>
    </cfRule>
  </conditionalFormatting>
  <conditionalFormatting sqref="C131:D131">
    <cfRule type="beginsWith" dxfId="1440" priority="1568" stopIfTrue="1" operator="beginsWith" text="Functioning At Risk">
      <formula>LEFT(C131,LEN("Functioning At Risk"))="Functioning At Risk"</formula>
    </cfRule>
    <cfRule type="beginsWith" dxfId="1439" priority="1569" stopIfTrue="1" operator="beginsWith" text="Not Functioning">
      <formula>LEFT(C131,LEN("Not Functioning"))="Not Functioning"</formula>
    </cfRule>
    <cfRule type="containsText" dxfId="1438" priority="1570" operator="containsText" text="Functioning">
      <formula>NOT(ISERROR(SEARCH("Functioning",C131)))</formula>
    </cfRule>
  </conditionalFormatting>
  <conditionalFormatting sqref="D135">
    <cfRule type="beginsWith" dxfId="1437" priority="1565" stopIfTrue="1" operator="beginsWith" text="Functioning At Risk">
      <formula>LEFT(D135,LEN("Functioning At Risk"))="Functioning At Risk"</formula>
    </cfRule>
    <cfRule type="beginsWith" dxfId="1436" priority="1566" stopIfTrue="1" operator="beginsWith" text="Not Functioning">
      <formula>LEFT(D135,LEN("Not Functioning"))="Not Functioning"</formula>
    </cfRule>
    <cfRule type="containsText" dxfId="1435" priority="1567" operator="containsText" text="Functioning">
      <formula>NOT(ISERROR(SEARCH("Functioning",D135)))</formula>
    </cfRule>
  </conditionalFormatting>
  <conditionalFormatting sqref="C125:D125">
    <cfRule type="beginsWith" dxfId="1434" priority="1562" stopIfTrue="1" operator="beginsWith" text="Functioning At Risk">
      <formula>LEFT(C125,LEN("Functioning At Risk"))="Functioning At Risk"</formula>
    </cfRule>
    <cfRule type="beginsWith" dxfId="1433" priority="1563" stopIfTrue="1" operator="beginsWith" text="Not Functioning">
      <formula>LEFT(C125,LEN("Not Functioning"))="Not Functioning"</formula>
    </cfRule>
    <cfRule type="containsText" dxfId="1432" priority="1564" operator="containsText" text="Functioning">
      <formula>NOT(ISERROR(SEARCH("Functioning",C125)))</formula>
    </cfRule>
  </conditionalFormatting>
  <conditionalFormatting sqref="B146:B147 A121:B121 A148:B148 A123:A124 B150 A149">
    <cfRule type="beginsWith" dxfId="1431" priority="1559" stopIfTrue="1" operator="beginsWith" text="Functioning At Risk">
      <formula>LEFT(A121,LEN("Functioning At Risk"))="Functioning At Risk"</formula>
    </cfRule>
    <cfRule type="beginsWith" dxfId="1430" priority="1560" stopIfTrue="1" operator="beginsWith" text="Not Functioning">
      <formula>LEFT(A121,LEN("Not Functioning"))="Not Functioning"</formula>
    </cfRule>
    <cfRule type="containsText" dxfId="1429" priority="1561" operator="containsText" text="Functioning">
      <formula>NOT(ISERROR(SEARCH("Functioning",A121)))</formula>
    </cfRule>
  </conditionalFormatting>
  <conditionalFormatting sqref="B125">
    <cfRule type="beginsWith" dxfId="1428" priority="1556" stopIfTrue="1" operator="beginsWith" text="Functioning At Risk">
      <formula>LEFT(B125,LEN("Functioning At Risk"))="Functioning At Risk"</formula>
    </cfRule>
    <cfRule type="beginsWith" dxfId="1427" priority="1557" stopIfTrue="1" operator="beginsWith" text="Not Functioning">
      <formula>LEFT(B125,LEN("Not Functioning"))="Not Functioning"</formula>
    </cfRule>
    <cfRule type="containsText" dxfId="1426" priority="1558" operator="containsText" text="Functioning">
      <formula>NOT(ISERROR(SEARCH("Functioning",B125)))</formula>
    </cfRule>
  </conditionalFormatting>
  <conditionalFormatting sqref="B142">
    <cfRule type="beginsWith" dxfId="1425" priority="1553" stopIfTrue="1" operator="beginsWith" text="Functioning At Risk">
      <formula>LEFT(B142,LEN("Functioning At Risk"))="Functioning At Risk"</formula>
    </cfRule>
    <cfRule type="beginsWith" dxfId="1424" priority="1554" stopIfTrue="1" operator="beginsWith" text="Not Functioning">
      <formula>LEFT(B142,LEN("Not Functioning"))="Not Functioning"</formula>
    </cfRule>
    <cfRule type="containsText" dxfId="1423" priority="1555" operator="containsText" text="Functioning">
      <formula>NOT(ISERROR(SEARCH("Functioning",B142)))</formula>
    </cfRule>
  </conditionalFormatting>
  <conditionalFormatting sqref="A142">
    <cfRule type="beginsWith" dxfId="1422" priority="1550" stopIfTrue="1" operator="beginsWith" text="Functioning At Risk">
      <formula>LEFT(A142,LEN("Functioning At Risk"))="Functioning At Risk"</formula>
    </cfRule>
    <cfRule type="beginsWith" dxfId="1421" priority="1551" stopIfTrue="1" operator="beginsWith" text="Not Functioning">
      <formula>LEFT(A142,LEN("Not Functioning"))="Not Functioning"</formula>
    </cfRule>
    <cfRule type="containsText" dxfId="1420" priority="1552" operator="containsText" text="Functioning">
      <formula>NOT(ISERROR(SEARCH("Functioning",A142)))</formula>
    </cfRule>
  </conditionalFormatting>
  <conditionalFormatting sqref="K117:K119">
    <cfRule type="beginsWith" dxfId="1419" priority="1544" stopIfTrue="1" operator="beginsWith" text="Functioning At Risk">
      <formula>LEFT(K117,LEN("Functioning At Risk"))="Functioning At Risk"</formula>
    </cfRule>
    <cfRule type="beginsWith" dxfId="1418" priority="1545" stopIfTrue="1" operator="beginsWith" text="Not Functioning">
      <formula>LEFT(K117,LEN("Not Functioning"))="Not Functioning"</formula>
    </cfRule>
    <cfRule type="containsText" dxfId="1417" priority="1546" operator="containsText" text="Functioning">
      <formula>NOT(ISERROR(SEARCH("Functioning",K117)))</formula>
    </cfRule>
  </conditionalFormatting>
  <conditionalFormatting sqref="D136">
    <cfRule type="beginsWith" dxfId="1416" priority="1541" stopIfTrue="1" operator="beginsWith" text="Functioning At Risk">
      <formula>LEFT(D136,LEN("Functioning At Risk"))="Functioning At Risk"</formula>
    </cfRule>
    <cfRule type="beginsWith" dxfId="1415" priority="1542" stopIfTrue="1" operator="beginsWith" text="Not Functioning">
      <formula>LEFT(D136,LEN("Not Functioning"))="Not Functioning"</formula>
    </cfRule>
    <cfRule type="containsText" dxfId="1414" priority="1543" operator="containsText" text="Functioning">
      <formula>NOT(ISERROR(SEARCH("Functioning",D136)))</formula>
    </cfRule>
  </conditionalFormatting>
  <conditionalFormatting sqref="C136">
    <cfRule type="beginsWith" dxfId="1413" priority="1526" stopIfTrue="1" operator="beginsWith" text="Functioning At Risk">
      <formula>LEFT(C136,LEN("Functioning At Risk"))="Functioning At Risk"</formula>
    </cfRule>
    <cfRule type="beginsWith" dxfId="1412" priority="1527" stopIfTrue="1" operator="beginsWith" text="Not Functioning">
      <formula>LEFT(C136,LEN("Not Functioning"))="Not Functioning"</formula>
    </cfRule>
    <cfRule type="containsText" dxfId="1411" priority="1528" operator="containsText" text="Functioning">
      <formula>NOT(ISERROR(SEARCH("Functioning",C136)))</formula>
    </cfRule>
  </conditionalFormatting>
  <conditionalFormatting sqref="C134">
    <cfRule type="beginsWith" dxfId="1410" priority="1535" stopIfTrue="1" operator="beginsWith" text="Functioning At Risk">
      <formula>LEFT(C134,LEN("Functioning At Risk"))="Functioning At Risk"</formula>
    </cfRule>
    <cfRule type="beginsWith" dxfId="1409" priority="1536" stopIfTrue="1" operator="beginsWith" text="Not Functioning">
      <formula>LEFT(C134,LEN("Not Functioning"))="Not Functioning"</formula>
    </cfRule>
    <cfRule type="containsText" dxfId="1408" priority="1537" operator="containsText" text="Functioning">
      <formula>NOT(ISERROR(SEARCH("Functioning",C134)))</formula>
    </cfRule>
  </conditionalFormatting>
  <conditionalFormatting sqref="C135">
    <cfRule type="beginsWith" dxfId="1407" priority="1532" stopIfTrue="1" operator="beginsWith" text="Functioning At Risk">
      <formula>LEFT(C135,LEN("Functioning At Risk"))="Functioning At Risk"</formula>
    </cfRule>
    <cfRule type="beginsWith" dxfId="1406" priority="1533" stopIfTrue="1" operator="beginsWith" text="Not Functioning">
      <formula>LEFT(C135,LEN("Not Functioning"))="Not Functioning"</formula>
    </cfRule>
    <cfRule type="containsText" dxfId="1405" priority="1534" operator="containsText" text="Functioning">
      <formula>NOT(ISERROR(SEARCH("Functioning",C135)))</formula>
    </cfRule>
  </conditionalFormatting>
  <conditionalFormatting sqref="C132:D133">
    <cfRule type="beginsWith" dxfId="1404" priority="1529" stopIfTrue="1" operator="beginsWith" text="Functioning At Risk">
      <formula>LEFT(C132,LEN("Functioning At Risk"))="Functioning At Risk"</formula>
    </cfRule>
    <cfRule type="beginsWith" dxfId="1403" priority="1530" stopIfTrue="1" operator="beginsWith" text="Not Functioning">
      <formula>LEFT(C132,LEN("Not Functioning"))="Not Functioning"</formula>
    </cfRule>
    <cfRule type="containsText" dxfId="1402" priority="1531" operator="containsText" text="Functioning">
      <formula>NOT(ISERROR(SEARCH("Functioning",C132)))</formula>
    </cfRule>
  </conditionalFormatting>
  <conditionalFormatting sqref="F148:F149 F126 F121 F144 F128:F129">
    <cfRule type="beginsWith" dxfId="1401" priority="1520" stopIfTrue="1" operator="beginsWith" text="Functioning At Risk">
      <formula>LEFT(F121,LEN("Functioning At Risk"))="Functioning At Risk"</formula>
    </cfRule>
    <cfRule type="beginsWith" dxfId="1400" priority="1521" stopIfTrue="1" operator="beginsWith" text="Not Functioning">
      <formula>LEFT(F121,LEN("Not Functioning"))="Not Functioning"</formula>
    </cfRule>
    <cfRule type="containsText" dxfId="1399" priority="1522" operator="containsText" text="Functioning">
      <formula>NOT(ISERROR(SEARCH("Functioning",F121)))</formula>
    </cfRule>
  </conditionalFormatting>
  <conditionalFormatting sqref="F132:F133">
    <cfRule type="beginsWith" dxfId="1398" priority="1514" stopIfTrue="1" operator="beginsWith" text="Functioning At Risk">
      <formula>LEFT(F132,LEN("Functioning At Risk"))="Functioning At Risk"</formula>
    </cfRule>
    <cfRule type="beginsWith" dxfId="1397" priority="1515" stopIfTrue="1" operator="beginsWith" text="Not Functioning">
      <formula>LEFT(F132,LEN("Not Functioning"))="Not Functioning"</formula>
    </cfRule>
    <cfRule type="containsText" dxfId="1396" priority="1516" operator="containsText" text="Functioning">
      <formula>NOT(ISERROR(SEARCH("Functioning",F132)))</formula>
    </cfRule>
  </conditionalFormatting>
  <conditionalFormatting sqref="E148:E149 E121:E122 E142 E128:E130">
    <cfRule type="beginsWith" dxfId="1395" priority="1508" stopIfTrue="1" operator="beginsWith" text="Functioning At Risk">
      <formula>LEFT(E121,LEN("Functioning At Risk"))="Functioning At Risk"</formula>
    </cfRule>
    <cfRule type="beginsWith" dxfId="1394" priority="1509" stopIfTrue="1" operator="beginsWith" text="Not Functioning">
      <formula>LEFT(E121,LEN("Not Functioning"))="Not Functioning"</formula>
    </cfRule>
    <cfRule type="containsText" dxfId="1393" priority="1510" operator="containsText" text="Functioning">
      <formula>NOT(ISERROR(SEARCH("Functioning",E121)))</formula>
    </cfRule>
  </conditionalFormatting>
  <conditionalFormatting sqref="E144">
    <cfRule type="expression" dxfId="1392" priority="1506">
      <formula>B75="Level 5 - Biology"</formula>
    </cfRule>
    <cfRule type="expression" dxfId="1391" priority="1507">
      <formula>B75="Level 4 - Physicochemical"</formula>
    </cfRule>
  </conditionalFormatting>
  <conditionalFormatting sqref="E148:E149">
    <cfRule type="expression" dxfId="1390" priority="1505">
      <formula>B75="Level 5 - Biology"</formula>
    </cfRule>
  </conditionalFormatting>
  <conditionalFormatting sqref="E150">
    <cfRule type="beginsWith" dxfId="1389" priority="1502" stopIfTrue="1" operator="beginsWith" text="Functioning At Risk">
      <formula>LEFT(E150,LEN("Functioning At Risk"))="Functioning At Risk"</formula>
    </cfRule>
    <cfRule type="beginsWith" dxfId="1388" priority="1503" stopIfTrue="1" operator="beginsWith" text="Not Functioning">
      <formula>LEFT(E150,LEN("Not Functioning"))="Not Functioning"</formula>
    </cfRule>
    <cfRule type="containsText" dxfId="1387" priority="1504" operator="containsText" text="Functioning">
      <formula>NOT(ISERROR(SEARCH("Functioning",E150)))</formula>
    </cfRule>
  </conditionalFormatting>
  <conditionalFormatting sqref="E142">
    <cfRule type="expression" dxfId="1386" priority="1496">
      <formula>B75="Level 4 - Physicochemical"</formula>
    </cfRule>
    <cfRule type="expression" dxfId="1385" priority="1501">
      <formula>B75="Level 5 - Biology"</formula>
    </cfRule>
  </conditionalFormatting>
  <conditionalFormatting sqref="E145">
    <cfRule type="expression" dxfId="1384" priority="1495">
      <formula>B75="Level 4 - Physicochemical"</formula>
    </cfRule>
    <cfRule type="expression" dxfId="1383" priority="1500">
      <formula>B75="Level 5 - Biology"</formula>
    </cfRule>
  </conditionalFormatting>
  <conditionalFormatting sqref="E146">
    <cfRule type="expression" dxfId="1382" priority="1494">
      <formula>B75="Level 4 - Physicochemical"</formula>
    </cfRule>
    <cfRule type="expression" dxfId="1381" priority="1499">
      <formula>B75="Level 5 - Biology"</formula>
    </cfRule>
  </conditionalFormatting>
  <conditionalFormatting sqref="E147">
    <cfRule type="expression" dxfId="1380" priority="1493">
      <formula>B75="Level 4 - Physicochemical"</formula>
    </cfRule>
    <cfRule type="expression" dxfId="1379" priority="1498">
      <formula>B75="Level 5 - Biology"</formula>
    </cfRule>
  </conditionalFormatting>
  <conditionalFormatting sqref="E150">
    <cfRule type="expression" dxfId="1378" priority="1497">
      <formula>B75="Level 5 - Biology"</formula>
    </cfRule>
  </conditionalFormatting>
  <conditionalFormatting sqref="E125">
    <cfRule type="beginsWith" dxfId="1377" priority="1490" stopIfTrue="1" operator="beginsWith" text="Functioning At Risk">
      <formula>LEFT(E125,LEN("Functioning At Risk"))="Functioning At Risk"</formula>
    </cfRule>
    <cfRule type="beginsWith" dxfId="1376" priority="1491" stopIfTrue="1" operator="beginsWith" text="Not Functioning">
      <formula>LEFT(E125,LEN("Not Functioning"))="Not Functioning"</formula>
    </cfRule>
    <cfRule type="containsText" dxfId="1375" priority="1492" operator="containsText" text="Functioning">
      <formula>NOT(ISERROR(SEARCH("Functioning",E125)))</formula>
    </cfRule>
  </conditionalFormatting>
  <conditionalFormatting sqref="E143">
    <cfRule type="expression" dxfId="1374" priority="1485">
      <formula>B75="Level 5 - Biology"</formula>
    </cfRule>
    <cfRule type="expression" dxfId="1373" priority="1486">
      <formula>B75="Level 4 - Physicochemical"</formula>
    </cfRule>
    <cfRule type="beginsWith" dxfId="1372" priority="1487" stopIfTrue="1" operator="beginsWith" text="Functioning At Risk">
      <formula>LEFT(E143,LEN("Functioning At Risk"))="Functioning At Risk"</formula>
    </cfRule>
    <cfRule type="beginsWith" dxfId="1371" priority="1488" stopIfTrue="1" operator="beginsWith" text="Not Functioning">
      <formula>LEFT(E143,LEN("Not Functioning"))="Not Functioning"</formula>
    </cfRule>
    <cfRule type="containsText" dxfId="1370" priority="1489" operator="containsText" text="Functioning">
      <formula>NOT(ISERROR(SEARCH("Functioning",E143)))</formula>
    </cfRule>
  </conditionalFormatting>
  <conditionalFormatting sqref="E182">
    <cfRule type="beginsWith" dxfId="1369" priority="1407" stopIfTrue="1" operator="beginsWith" text="Functioning At Risk">
      <formula>LEFT(E182,LEN("Functioning At Risk"))="Functioning At Risk"</formula>
    </cfRule>
    <cfRule type="beginsWith" dxfId="1368" priority="1408" stopIfTrue="1" operator="beginsWith" text="Not Functioning">
      <formula>LEFT(E182,LEN("Not Functioning"))="Not Functioning"</formula>
    </cfRule>
    <cfRule type="containsText" dxfId="1367" priority="1409" operator="containsText" text="Functioning">
      <formula>NOT(ISERROR(SEARCH("Functioning",E182)))</formula>
    </cfRule>
  </conditionalFormatting>
  <conditionalFormatting sqref="E170:E171">
    <cfRule type="beginsWith" dxfId="1366" priority="1378" stopIfTrue="1" operator="beginsWith" text="Functioning At Risk">
      <formula>LEFT(E170,LEN("Functioning At Risk"))="Functioning At Risk"</formula>
    </cfRule>
    <cfRule type="beginsWith" dxfId="1365" priority="1379" stopIfTrue="1" operator="beginsWith" text="Not Functioning">
      <formula>LEFT(E170,LEN("Not Functioning"))="Not Functioning"</formula>
    </cfRule>
    <cfRule type="containsText" dxfId="1364" priority="1380" operator="containsText" text="Functioning">
      <formula>NOT(ISERROR(SEARCH("Functioning",E170)))</formula>
    </cfRule>
  </conditionalFormatting>
  <conditionalFormatting sqref="I159 I180 I161:I162 A154:C154 G153 I186:I187 C164:D164 I155:I157 E154:K154 C186:D187 C159:D160 B182:D182 L179:L188 B181 M165:M178 B166:D168 D179:D180">
    <cfRule type="beginsWith" dxfId="1363" priority="1479" stopIfTrue="1" operator="beginsWith" text="Functioning At Risk">
      <formula>LEFT(A153,LEN("Functioning At Risk"))="Functioning At Risk"</formula>
    </cfRule>
    <cfRule type="beginsWith" dxfId="1362" priority="1480" stopIfTrue="1" operator="beginsWith" text="Not Functioning">
      <formula>LEFT(A153,LEN("Not Functioning"))="Not Functioning"</formula>
    </cfRule>
    <cfRule type="containsText" dxfId="1361" priority="1481" operator="containsText" text="Functioning">
      <formula>NOT(ISERROR(SEARCH("Functioning",A153)))</formula>
    </cfRule>
  </conditionalFormatting>
  <conditionalFormatting sqref="D172">
    <cfRule type="beginsWith" dxfId="1360" priority="1476" stopIfTrue="1" operator="beginsWith" text="Functioning At Risk">
      <formula>LEFT(D172,LEN("Functioning At Risk"))="Functioning At Risk"</formula>
    </cfRule>
    <cfRule type="beginsWith" dxfId="1359" priority="1477" stopIfTrue="1" operator="beginsWith" text="Not Functioning">
      <formula>LEFT(D172,LEN("Not Functioning"))="Not Functioning"</formula>
    </cfRule>
    <cfRule type="containsText" dxfId="1358" priority="1478" operator="containsText" text="Functioning">
      <formula>NOT(ISERROR(SEARCH("Functioning",D172)))</formula>
    </cfRule>
  </conditionalFormatting>
  <conditionalFormatting sqref="C188:D188">
    <cfRule type="beginsWith" dxfId="1357" priority="1473" stopIfTrue="1" operator="beginsWith" text="Functioning At Risk">
      <formula>LEFT(C188,LEN("Functioning At Risk"))="Functioning At Risk"</formula>
    </cfRule>
    <cfRule type="beginsWith" dxfId="1356" priority="1474" stopIfTrue="1" operator="beginsWith" text="Not Functioning">
      <formula>LEFT(C188,LEN("Not Functioning"))="Not Functioning"</formula>
    </cfRule>
    <cfRule type="containsText" dxfId="1355" priority="1475" operator="containsText" text="Functioning">
      <formula>NOT(ISERROR(SEARCH("Functioning",C188)))</formula>
    </cfRule>
  </conditionalFormatting>
  <conditionalFormatting sqref="C165:D165">
    <cfRule type="beginsWith" dxfId="1354" priority="1470" stopIfTrue="1" operator="beginsWith" text="Functioning At Risk">
      <formula>LEFT(C165,LEN("Functioning At Risk"))="Functioning At Risk"</formula>
    </cfRule>
    <cfRule type="beginsWith" dxfId="1353" priority="1471" stopIfTrue="1" operator="beginsWith" text="Not Functioning">
      <formula>LEFT(C165,LEN("Not Functioning"))="Not Functioning"</formula>
    </cfRule>
    <cfRule type="containsText" dxfId="1352" priority="1472" operator="containsText" text="Functioning">
      <formula>NOT(ISERROR(SEARCH("Functioning",C165)))</formula>
    </cfRule>
  </conditionalFormatting>
  <conditionalFormatting sqref="C183:D183">
    <cfRule type="beginsWith" dxfId="1351" priority="1467" stopIfTrue="1" operator="beginsWith" text="Functioning At Risk">
      <formula>LEFT(C183,LEN("Functioning At Risk"))="Functioning At Risk"</formula>
    </cfRule>
    <cfRule type="beginsWith" dxfId="1350" priority="1468" stopIfTrue="1" operator="beginsWith" text="Not Functioning">
      <formula>LEFT(C183,LEN("Not Functioning"))="Not Functioning"</formula>
    </cfRule>
    <cfRule type="containsText" dxfId="1349" priority="1469" operator="containsText" text="Functioning">
      <formula>NOT(ISERROR(SEARCH("Functioning",C183)))</formula>
    </cfRule>
  </conditionalFormatting>
  <conditionalFormatting sqref="C169:D169">
    <cfRule type="beginsWith" dxfId="1348" priority="1464" stopIfTrue="1" operator="beginsWith" text="Functioning At Risk">
      <formula>LEFT(C169,LEN("Functioning At Risk"))="Functioning At Risk"</formula>
    </cfRule>
    <cfRule type="beginsWith" dxfId="1347" priority="1465" stopIfTrue="1" operator="beginsWith" text="Not Functioning">
      <formula>LEFT(C169,LEN("Not Functioning"))="Not Functioning"</formula>
    </cfRule>
    <cfRule type="containsText" dxfId="1346" priority="1466" operator="containsText" text="Functioning">
      <formula>NOT(ISERROR(SEARCH("Functioning",C169)))</formula>
    </cfRule>
  </conditionalFormatting>
  <conditionalFormatting sqref="D173">
    <cfRule type="beginsWith" dxfId="1345" priority="1461" stopIfTrue="1" operator="beginsWith" text="Functioning At Risk">
      <formula>LEFT(D173,LEN("Functioning At Risk"))="Functioning At Risk"</formula>
    </cfRule>
    <cfRule type="beginsWith" dxfId="1344" priority="1462" stopIfTrue="1" operator="beginsWith" text="Not Functioning">
      <formula>LEFT(D173,LEN("Not Functioning"))="Not Functioning"</formula>
    </cfRule>
    <cfRule type="containsText" dxfId="1343" priority="1463" operator="containsText" text="Functioning">
      <formula>NOT(ISERROR(SEARCH("Functioning",D173)))</formula>
    </cfRule>
  </conditionalFormatting>
  <conditionalFormatting sqref="C163:D163">
    <cfRule type="beginsWith" dxfId="1342" priority="1458" stopIfTrue="1" operator="beginsWith" text="Functioning At Risk">
      <formula>LEFT(C163,LEN("Functioning At Risk"))="Functioning At Risk"</formula>
    </cfRule>
    <cfRule type="beginsWith" dxfId="1341" priority="1459" stopIfTrue="1" operator="beginsWith" text="Not Functioning">
      <formula>LEFT(C163,LEN("Not Functioning"))="Not Functioning"</formula>
    </cfRule>
    <cfRule type="containsText" dxfId="1340" priority="1460" operator="containsText" text="Functioning">
      <formula>NOT(ISERROR(SEARCH("Functioning",C163)))</formula>
    </cfRule>
  </conditionalFormatting>
  <conditionalFormatting sqref="B184:B185 A159:B159 A186:B186 A161:A162 B188 A187">
    <cfRule type="beginsWith" dxfId="1339" priority="1455" stopIfTrue="1" operator="beginsWith" text="Functioning At Risk">
      <formula>LEFT(A159,LEN("Functioning At Risk"))="Functioning At Risk"</formula>
    </cfRule>
    <cfRule type="beginsWith" dxfId="1338" priority="1456" stopIfTrue="1" operator="beginsWith" text="Not Functioning">
      <formula>LEFT(A159,LEN("Not Functioning"))="Not Functioning"</formula>
    </cfRule>
    <cfRule type="containsText" dxfId="1337" priority="1457" operator="containsText" text="Functioning">
      <formula>NOT(ISERROR(SEARCH("Functioning",A159)))</formula>
    </cfRule>
  </conditionalFormatting>
  <conditionalFormatting sqref="B163">
    <cfRule type="beginsWith" dxfId="1336" priority="1452" stopIfTrue="1" operator="beginsWith" text="Functioning At Risk">
      <formula>LEFT(B163,LEN("Functioning At Risk"))="Functioning At Risk"</formula>
    </cfRule>
    <cfRule type="beginsWith" dxfId="1335" priority="1453" stopIfTrue="1" operator="beginsWith" text="Not Functioning">
      <formula>LEFT(B163,LEN("Not Functioning"))="Not Functioning"</formula>
    </cfRule>
    <cfRule type="containsText" dxfId="1334" priority="1454" operator="containsText" text="Functioning">
      <formula>NOT(ISERROR(SEARCH("Functioning",B163)))</formula>
    </cfRule>
  </conditionalFormatting>
  <conditionalFormatting sqref="B180">
    <cfRule type="beginsWith" dxfId="1333" priority="1449" stopIfTrue="1" operator="beginsWith" text="Functioning At Risk">
      <formula>LEFT(B180,LEN("Functioning At Risk"))="Functioning At Risk"</formula>
    </cfRule>
    <cfRule type="beginsWith" dxfId="1332" priority="1450" stopIfTrue="1" operator="beginsWith" text="Not Functioning">
      <formula>LEFT(B180,LEN("Not Functioning"))="Not Functioning"</formula>
    </cfRule>
    <cfRule type="containsText" dxfId="1331" priority="1451" operator="containsText" text="Functioning">
      <formula>NOT(ISERROR(SEARCH("Functioning",B180)))</formula>
    </cfRule>
  </conditionalFormatting>
  <conditionalFormatting sqref="A180">
    <cfRule type="beginsWith" dxfId="1330" priority="1446" stopIfTrue="1" operator="beginsWith" text="Functioning At Risk">
      <formula>LEFT(A180,LEN("Functioning At Risk"))="Functioning At Risk"</formula>
    </cfRule>
    <cfRule type="beginsWith" dxfId="1329" priority="1447" stopIfTrue="1" operator="beginsWith" text="Not Functioning">
      <formula>LEFT(A180,LEN("Not Functioning"))="Not Functioning"</formula>
    </cfRule>
    <cfRule type="containsText" dxfId="1328" priority="1448" operator="containsText" text="Functioning">
      <formula>NOT(ISERROR(SEARCH("Functioning",A180)))</formula>
    </cfRule>
  </conditionalFormatting>
  <conditionalFormatting sqref="K155:K157">
    <cfRule type="beginsWith" dxfId="1327" priority="1440" stopIfTrue="1" operator="beginsWith" text="Functioning At Risk">
      <formula>LEFT(K155,LEN("Functioning At Risk"))="Functioning At Risk"</formula>
    </cfRule>
    <cfRule type="beginsWith" dxfId="1326" priority="1441" stopIfTrue="1" operator="beginsWith" text="Not Functioning">
      <formula>LEFT(K155,LEN("Not Functioning"))="Not Functioning"</formula>
    </cfRule>
    <cfRule type="containsText" dxfId="1325" priority="1442" operator="containsText" text="Functioning">
      <formula>NOT(ISERROR(SEARCH("Functioning",K155)))</formula>
    </cfRule>
  </conditionalFormatting>
  <conditionalFormatting sqref="D174">
    <cfRule type="beginsWith" dxfId="1324" priority="1437" stopIfTrue="1" operator="beginsWith" text="Functioning At Risk">
      <formula>LEFT(D174,LEN("Functioning At Risk"))="Functioning At Risk"</formula>
    </cfRule>
    <cfRule type="beginsWith" dxfId="1323" priority="1438" stopIfTrue="1" operator="beginsWith" text="Not Functioning">
      <formula>LEFT(D174,LEN("Not Functioning"))="Not Functioning"</formula>
    </cfRule>
    <cfRule type="containsText" dxfId="1322" priority="1439" operator="containsText" text="Functioning">
      <formula>NOT(ISERROR(SEARCH("Functioning",D174)))</formula>
    </cfRule>
  </conditionalFormatting>
  <conditionalFormatting sqref="C174">
    <cfRule type="beginsWith" dxfId="1321" priority="1422" stopIfTrue="1" operator="beginsWith" text="Functioning At Risk">
      <formula>LEFT(C174,LEN("Functioning At Risk"))="Functioning At Risk"</formula>
    </cfRule>
    <cfRule type="beginsWith" dxfId="1320" priority="1423" stopIfTrue="1" operator="beginsWith" text="Not Functioning">
      <formula>LEFT(C174,LEN("Not Functioning"))="Not Functioning"</formula>
    </cfRule>
    <cfRule type="containsText" dxfId="1319" priority="1424" operator="containsText" text="Functioning">
      <formula>NOT(ISERROR(SEARCH("Functioning",C174)))</formula>
    </cfRule>
  </conditionalFormatting>
  <conditionalFormatting sqref="C172">
    <cfRule type="beginsWith" dxfId="1318" priority="1431" stopIfTrue="1" operator="beginsWith" text="Functioning At Risk">
      <formula>LEFT(C172,LEN("Functioning At Risk"))="Functioning At Risk"</formula>
    </cfRule>
    <cfRule type="beginsWith" dxfId="1317" priority="1432" stopIfTrue="1" operator="beginsWith" text="Not Functioning">
      <formula>LEFT(C172,LEN("Not Functioning"))="Not Functioning"</formula>
    </cfRule>
    <cfRule type="containsText" dxfId="1316" priority="1433" operator="containsText" text="Functioning">
      <formula>NOT(ISERROR(SEARCH("Functioning",C172)))</formula>
    </cfRule>
  </conditionalFormatting>
  <conditionalFormatting sqref="C173">
    <cfRule type="beginsWith" dxfId="1315" priority="1428" stopIfTrue="1" operator="beginsWith" text="Functioning At Risk">
      <formula>LEFT(C173,LEN("Functioning At Risk"))="Functioning At Risk"</formula>
    </cfRule>
    <cfRule type="beginsWith" dxfId="1314" priority="1429" stopIfTrue="1" operator="beginsWith" text="Not Functioning">
      <formula>LEFT(C173,LEN("Not Functioning"))="Not Functioning"</formula>
    </cfRule>
    <cfRule type="containsText" dxfId="1313" priority="1430" operator="containsText" text="Functioning">
      <formula>NOT(ISERROR(SEARCH("Functioning",C173)))</formula>
    </cfRule>
  </conditionalFormatting>
  <conditionalFormatting sqref="C170:D171">
    <cfRule type="beginsWith" dxfId="1312" priority="1425" stopIfTrue="1" operator="beginsWith" text="Functioning At Risk">
      <formula>LEFT(C170,LEN("Functioning At Risk"))="Functioning At Risk"</formula>
    </cfRule>
    <cfRule type="beginsWith" dxfId="1311" priority="1426" stopIfTrue="1" operator="beginsWith" text="Not Functioning">
      <formula>LEFT(C170,LEN("Not Functioning"))="Not Functioning"</formula>
    </cfRule>
    <cfRule type="containsText" dxfId="1310" priority="1427" operator="containsText" text="Functioning">
      <formula>NOT(ISERROR(SEARCH("Functioning",C170)))</formula>
    </cfRule>
  </conditionalFormatting>
  <conditionalFormatting sqref="F186:F187 F164 F159 F182 F166:F167">
    <cfRule type="beginsWith" dxfId="1309" priority="1416" stopIfTrue="1" operator="beginsWith" text="Functioning At Risk">
      <formula>LEFT(F159,LEN("Functioning At Risk"))="Functioning At Risk"</formula>
    </cfRule>
    <cfRule type="beginsWith" dxfId="1308" priority="1417" stopIfTrue="1" operator="beginsWith" text="Not Functioning">
      <formula>LEFT(F159,LEN("Not Functioning"))="Not Functioning"</formula>
    </cfRule>
    <cfRule type="containsText" dxfId="1307" priority="1418" operator="containsText" text="Functioning">
      <formula>NOT(ISERROR(SEARCH("Functioning",F159)))</formula>
    </cfRule>
  </conditionalFormatting>
  <conditionalFormatting sqref="F170:F171">
    <cfRule type="beginsWith" dxfId="1306" priority="1410" stopIfTrue="1" operator="beginsWith" text="Functioning At Risk">
      <formula>LEFT(F170,LEN("Functioning At Risk"))="Functioning At Risk"</formula>
    </cfRule>
    <cfRule type="beginsWith" dxfId="1305" priority="1411" stopIfTrue="1" operator="beginsWith" text="Not Functioning">
      <formula>LEFT(F170,LEN("Not Functioning"))="Not Functioning"</formula>
    </cfRule>
    <cfRule type="containsText" dxfId="1304" priority="1412" operator="containsText" text="Functioning">
      <formula>NOT(ISERROR(SEARCH("Functioning",F170)))</formula>
    </cfRule>
  </conditionalFormatting>
  <conditionalFormatting sqref="E186:E187 E159:E160 E180 E164:E168">
    <cfRule type="beginsWith" dxfId="1303" priority="1404" stopIfTrue="1" operator="beginsWith" text="Functioning At Risk">
      <formula>LEFT(E159,LEN("Functioning At Risk"))="Functioning At Risk"</formula>
    </cfRule>
    <cfRule type="beginsWith" dxfId="1302" priority="1405" stopIfTrue="1" operator="beginsWith" text="Not Functioning">
      <formula>LEFT(E159,LEN("Not Functioning"))="Not Functioning"</formula>
    </cfRule>
    <cfRule type="containsText" dxfId="1301" priority="1406" operator="containsText" text="Functioning">
      <formula>NOT(ISERROR(SEARCH("Functioning",E159)))</formula>
    </cfRule>
  </conditionalFormatting>
  <conditionalFormatting sqref="E182">
    <cfRule type="expression" dxfId="1300" priority="1402">
      <formula>B113="Level 5 - Biology"</formula>
    </cfRule>
    <cfRule type="expression" dxfId="1299" priority="1403">
      <formula>B113="Level 4 - Physicochemical"</formula>
    </cfRule>
  </conditionalFormatting>
  <conditionalFormatting sqref="E186:E187">
    <cfRule type="expression" dxfId="1298" priority="1401">
      <formula>B113="Level 5 - Biology"</formula>
    </cfRule>
  </conditionalFormatting>
  <conditionalFormatting sqref="E188">
    <cfRule type="beginsWith" dxfId="1297" priority="1398" stopIfTrue="1" operator="beginsWith" text="Functioning At Risk">
      <formula>LEFT(E188,LEN("Functioning At Risk"))="Functioning At Risk"</formula>
    </cfRule>
    <cfRule type="beginsWith" dxfId="1296" priority="1399" stopIfTrue="1" operator="beginsWith" text="Not Functioning">
      <formula>LEFT(E188,LEN("Not Functioning"))="Not Functioning"</formula>
    </cfRule>
    <cfRule type="containsText" dxfId="1295" priority="1400" operator="containsText" text="Functioning">
      <formula>NOT(ISERROR(SEARCH("Functioning",E188)))</formula>
    </cfRule>
  </conditionalFormatting>
  <conditionalFormatting sqref="E180">
    <cfRule type="expression" dxfId="1294" priority="1392">
      <formula>B113="Level 4 - Physicochemical"</formula>
    </cfRule>
    <cfRule type="expression" dxfId="1293" priority="1397">
      <formula>B113="Level 5 - Biology"</formula>
    </cfRule>
  </conditionalFormatting>
  <conditionalFormatting sqref="E183">
    <cfRule type="expression" dxfId="1292" priority="1391">
      <formula>B113="Level 4 - Physicochemical"</formula>
    </cfRule>
    <cfRule type="expression" dxfId="1291" priority="1396">
      <formula>B113="Level 5 - Biology"</formula>
    </cfRule>
  </conditionalFormatting>
  <conditionalFormatting sqref="E184">
    <cfRule type="expression" dxfId="1290" priority="1390">
      <formula>B113="Level 4 - Physicochemical"</formula>
    </cfRule>
    <cfRule type="expression" dxfId="1289" priority="1395">
      <formula>B113="Level 5 - Biology"</formula>
    </cfRule>
  </conditionalFormatting>
  <conditionalFormatting sqref="E185">
    <cfRule type="expression" dxfId="1288" priority="1389">
      <formula>B113="Level 4 - Physicochemical"</formula>
    </cfRule>
    <cfRule type="expression" dxfId="1287" priority="1394">
      <formula>B113="Level 5 - Biology"</formula>
    </cfRule>
  </conditionalFormatting>
  <conditionalFormatting sqref="E188">
    <cfRule type="expression" dxfId="1286" priority="1393">
      <formula>B113="Level 5 - Biology"</formula>
    </cfRule>
  </conditionalFormatting>
  <conditionalFormatting sqref="E163">
    <cfRule type="beginsWith" dxfId="1285" priority="1386" stopIfTrue="1" operator="beginsWith" text="Functioning At Risk">
      <formula>LEFT(E163,LEN("Functioning At Risk"))="Functioning At Risk"</formula>
    </cfRule>
    <cfRule type="beginsWith" dxfId="1284" priority="1387" stopIfTrue="1" operator="beginsWith" text="Not Functioning">
      <formula>LEFT(E163,LEN("Not Functioning"))="Not Functioning"</formula>
    </cfRule>
    <cfRule type="containsText" dxfId="1283" priority="1388" operator="containsText" text="Functioning">
      <formula>NOT(ISERROR(SEARCH("Functioning",E163)))</formula>
    </cfRule>
  </conditionalFormatting>
  <conditionalFormatting sqref="E181">
    <cfRule type="expression" dxfId="1282" priority="1381">
      <formula>B113="Level 5 - Biology"</formula>
    </cfRule>
    <cfRule type="expression" dxfId="1281" priority="1382">
      <formula>B113="Level 4 - Physicochemical"</formula>
    </cfRule>
    <cfRule type="beginsWith" dxfId="1280" priority="1383" stopIfTrue="1" operator="beginsWith" text="Functioning At Risk">
      <formula>LEFT(E181,LEN("Functioning At Risk"))="Functioning At Risk"</formula>
    </cfRule>
    <cfRule type="beginsWith" dxfId="1279" priority="1384" stopIfTrue="1" operator="beginsWith" text="Not Functioning">
      <formula>LEFT(E181,LEN("Not Functioning"))="Not Functioning"</formula>
    </cfRule>
    <cfRule type="containsText" dxfId="1278" priority="1385" operator="containsText" text="Functioning">
      <formula>NOT(ISERROR(SEARCH("Functioning",E181)))</formula>
    </cfRule>
  </conditionalFormatting>
  <conditionalFormatting sqref="E220">
    <cfRule type="beginsWith" dxfId="1277" priority="1303" stopIfTrue="1" operator="beginsWith" text="Functioning At Risk">
      <formula>LEFT(E220,LEN("Functioning At Risk"))="Functioning At Risk"</formula>
    </cfRule>
    <cfRule type="beginsWith" dxfId="1276" priority="1304" stopIfTrue="1" operator="beginsWith" text="Not Functioning">
      <formula>LEFT(E220,LEN("Not Functioning"))="Not Functioning"</formula>
    </cfRule>
    <cfRule type="containsText" dxfId="1275" priority="1305" operator="containsText" text="Functioning">
      <formula>NOT(ISERROR(SEARCH("Functioning",E220)))</formula>
    </cfRule>
  </conditionalFormatting>
  <conditionalFormatting sqref="E208:E209">
    <cfRule type="beginsWith" dxfId="1274" priority="1274" stopIfTrue="1" operator="beginsWith" text="Functioning At Risk">
      <formula>LEFT(E208,LEN("Functioning At Risk"))="Functioning At Risk"</formula>
    </cfRule>
    <cfRule type="beginsWith" dxfId="1273" priority="1275" stopIfTrue="1" operator="beginsWith" text="Not Functioning">
      <formula>LEFT(E208,LEN("Not Functioning"))="Not Functioning"</formula>
    </cfRule>
    <cfRule type="containsText" dxfId="1272" priority="1276" operator="containsText" text="Functioning">
      <formula>NOT(ISERROR(SEARCH("Functioning",E208)))</formula>
    </cfRule>
  </conditionalFormatting>
  <conditionalFormatting sqref="I197 I218 I199:I200 A192:C192 G191 I224:I225 C202:D202 I193:I195 E192:K192 C224:D225 C197:D198 B220:D220 L217:L226 B219 M203:M216 B204:D206 D217:D218">
    <cfRule type="beginsWith" dxfId="1271" priority="1375" stopIfTrue="1" operator="beginsWith" text="Functioning At Risk">
      <formula>LEFT(A191,LEN("Functioning At Risk"))="Functioning At Risk"</formula>
    </cfRule>
    <cfRule type="beginsWith" dxfId="1270" priority="1376" stopIfTrue="1" operator="beginsWith" text="Not Functioning">
      <formula>LEFT(A191,LEN("Not Functioning"))="Not Functioning"</formula>
    </cfRule>
    <cfRule type="containsText" dxfId="1269" priority="1377" operator="containsText" text="Functioning">
      <formula>NOT(ISERROR(SEARCH("Functioning",A191)))</formula>
    </cfRule>
  </conditionalFormatting>
  <conditionalFormatting sqref="D210">
    <cfRule type="beginsWith" dxfId="1268" priority="1372" stopIfTrue="1" operator="beginsWith" text="Functioning At Risk">
      <formula>LEFT(D210,LEN("Functioning At Risk"))="Functioning At Risk"</formula>
    </cfRule>
    <cfRule type="beginsWith" dxfId="1267" priority="1373" stopIfTrue="1" operator="beginsWith" text="Not Functioning">
      <formula>LEFT(D210,LEN("Not Functioning"))="Not Functioning"</formula>
    </cfRule>
    <cfRule type="containsText" dxfId="1266" priority="1374" operator="containsText" text="Functioning">
      <formula>NOT(ISERROR(SEARCH("Functioning",D210)))</formula>
    </cfRule>
  </conditionalFormatting>
  <conditionalFormatting sqref="C226:D226">
    <cfRule type="beginsWith" dxfId="1265" priority="1369" stopIfTrue="1" operator="beginsWith" text="Functioning At Risk">
      <formula>LEFT(C226,LEN("Functioning At Risk"))="Functioning At Risk"</formula>
    </cfRule>
    <cfRule type="beginsWith" dxfId="1264" priority="1370" stopIfTrue="1" operator="beginsWith" text="Not Functioning">
      <formula>LEFT(C226,LEN("Not Functioning"))="Not Functioning"</formula>
    </cfRule>
    <cfRule type="containsText" dxfId="1263" priority="1371" operator="containsText" text="Functioning">
      <formula>NOT(ISERROR(SEARCH("Functioning",C226)))</formula>
    </cfRule>
  </conditionalFormatting>
  <conditionalFormatting sqref="C203:D203">
    <cfRule type="beginsWith" dxfId="1262" priority="1366" stopIfTrue="1" operator="beginsWith" text="Functioning At Risk">
      <formula>LEFT(C203,LEN("Functioning At Risk"))="Functioning At Risk"</formula>
    </cfRule>
    <cfRule type="beginsWith" dxfId="1261" priority="1367" stopIfTrue="1" operator="beginsWith" text="Not Functioning">
      <formula>LEFT(C203,LEN("Not Functioning"))="Not Functioning"</formula>
    </cfRule>
    <cfRule type="containsText" dxfId="1260" priority="1368" operator="containsText" text="Functioning">
      <formula>NOT(ISERROR(SEARCH("Functioning",C203)))</formula>
    </cfRule>
  </conditionalFormatting>
  <conditionalFormatting sqref="C221:D221">
    <cfRule type="beginsWith" dxfId="1259" priority="1363" stopIfTrue="1" operator="beginsWith" text="Functioning At Risk">
      <formula>LEFT(C221,LEN("Functioning At Risk"))="Functioning At Risk"</formula>
    </cfRule>
    <cfRule type="beginsWith" dxfId="1258" priority="1364" stopIfTrue="1" operator="beginsWith" text="Not Functioning">
      <formula>LEFT(C221,LEN("Not Functioning"))="Not Functioning"</formula>
    </cfRule>
    <cfRule type="containsText" dxfId="1257" priority="1365" operator="containsText" text="Functioning">
      <formula>NOT(ISERROR(SEARCH("Functioning",C221)))</formula>
    </cfRule>
  </conditionalFormatting>
  <conditionalFormatting sqref="C207:D207">
    <cfRule type="beginsWith" dxfId="1256" priority="1360" stopIfTrue="1" operator="beginsWith" text="Functioning At Risk">
      <formula>LEFT(C207,LEN("Functioning At Risk"))="Functioning At Risk"</formula>
    </cfRule>
    <cfRule type="beginsWith" dxfId="1255" priority="1361" stopIfTrue="1" operator="beginsWith" text="Not Functioning">
      <formula>LEFT(C207,LEN("Not Functioning"))="Not Functioning"</formula>
    </cfRule>
    <cfRule type="containsText" dxfId="1254" priority="1362" operator="containsText" text="Functioning">
      <formula>NOT(ISERROR(SEARCH("Functioning",C207)))</formula>
    </cfRule>
  </conditionalFormatting>
  <conditionalFormatting sqref="D211">
    <cfRule type="beginsWith" dxfId="1253" priority="1357" stopIfTrue="1" operator="beginsWith" text="Functioning At Risk">
      <formula>LEFT(D211,LEN("Functioning At Risk"))="Functioning At Risk"</formula>
    </cfRule>
    <cfRule type="beginsWith" dxfId="1252" priority="1358" stopIfTrue="1" operator="beginsWith" text="Not Functioning">
      <formula>LEFT(D211,LEN("Not Functioning"))="Not Functioning"</formula>
    </cfRule>
    <cfRule type="containsText" dxfId="1251" priority="1359" operator="containsText" text="Functioning">
      <formula>NOT(ISERROR(SEARCH("Functioning",D211)))</formula>
    </cfRule>
  </conditionalFormatting>
  <conditionalFormatting sqref="C201:D201">
    <cfRule type="beginsWith" dxfId="1250" priority="1354" stopIfTrue="1" operator="beginsWith" text="Functioning At Risk">
      <formula>LEFT(C201,LEN("Functioning At Risk"))="Functioning At Risk"</formula>
    </cfRule>
    <cfRule type="beginsWith" dxfId="1249" priority="1355" stopIfTrue="1" operator="beginsWith" text="Not Functioning">
      <formula>LEFT(C201,LEN("Not Functioning"))="Not Functioning"</formula>
    </cfRule>
    <cfRule type="containsText" dxfId="1248" priority="1356" operator="containsText" text="Functioning">
      <formula>NOT(ISERROR(SEARCH("Functioning",C201)))</formula>
    </cfRule>
  </conditionalFormatting>
  <conditionalFormatting sqref="B222:B223 A197:B197 A224:B224 A199:A200 B226 A225">
    <cfRule type="beginsWith" dxfId="1247" priority="1351" stopIfTrue="1" operator="beginsWith" text="Functioning At Risk">
      <formula>LEFT(A197,LEN("Functioning At Risk"))="Functioning At Risk"</formula>
    </cfRule>
    <cfRule type="beginsWith" dxfId="1246" priority="1352" stopIfTrue="1" operator="beginsWith" text="Not Functioning">
      <formula>LEFT(A197,LEN("Not Functioning"))="Not Functioning"</formula>
    </cfRule>
    <cfRule type="containsText" dxfId="1245" priority="1353" operator="containsText" text="Functioning">
      <formula>NOT(ISERROR(SEARCH("Functioning",A197)))</formula>
    </cfRule>
  </conditionalFormatting>
  <conditionalFormatting sqref="B201">
    <cfRule type="beginsWith" dxfId="1244" priority="1348" stopIfTrue="1" operator="beginsWith" text="Functioning At Risk">
      <formula>LEFT(B201,LEN("Functioning At Risk"))="Functioning At Risk"</formula>
    </cfRule>
    <cfRule type="beginsWith" dxfId="1243" priority="1349" stopIfTrue="1" operator="beginsWith" text="Not Functioning">
      <formula>LEFT(B201,LEN("Not Functioning"))="Not Functioning"</formula>
    </cfRule>
    <cfRule type="containsText" dxfId="1242" priority="1350" operator="containsText" text="Functioning">
      <formula>NOT(ISERROR(SEARCH("Functioning",B201)))</formula>
    </cfRule>
  </conditionalFormatting>
  <conditionalFormatting sqref="B218">
    <cfRule type="beginsWith" dxfId="1241" priority="1345" stopIfTrue="1" operator="beginsWith" text="Functioning At Risk">
      <formula>LEFT(B218,LEN("Functioning At Risk"))="Functioning At Risk"</formula>
    </cfRule>
    <cfRule type="beginsWith" dxfId="1240" priority="1346" stopIfTrue="1" operator="beginsWith" text="Not Functioning">
      <formula>LEFT(B218,LEN("Not Functioning"))="Not Functioning"</formula>
    </cfRule>
    <cfRule type="containsText" dxfId="1239" priority="1347" operator="containsText" text="Functioning">
      <formula>NOT(ISERROR(SEARCH("Functioning",B218)))</formula>
    </cfRule>
  </conditionalFormatting>
  <conditionalFormatting sqref="A218">
    <cfRule type="beginsWith" dxfId="1238" priority="1342" stopIfTrue="1" operator="beginsWith" text="Functioning At Risk">
      <formula>LEFT(A218,LEN("Functioning At Risk"))="Functioning At Risk"</formula>
    </cfRule>
    <cfRule type="beginsWith" dxfId="1237" priority="1343" stopIfTrue="1" operator="beginsWith" text="Not Functioning">
      <formula>LEFT(A218,LEN("Not Functioning"))="Not Functioning"</formula>
    </cfRule>
    <cfRule type="containsText" dxfId="1236" priority="1344" operator="containsText" text="Functioning">
      <formula>NOT(ISERROR(SEARCH("Functioning",A218)))</formula>
    </cfRule>
  </conditionalFormatting>
  <conditionalFormatting sqref="K193:K195">
    <cfRule type="beginsWith" dxfId="1235" priority="1336" stopIfTrue="1" operator="beginsWith" text="Functioning At Risk">
      <formula>LEFT(K193,LEN("Functioning At Risk"))="Functioning At Risk"</formula>
    </cfRule>
    <cfRule type="beginsWith" dxfId="1234" priority="1337" stopIfTrue="1" operator="beginsWith" text="Not Functioning">
      <formula>LEFT(K193,LEN("Not Functioning"))="Not Functioning"</formula>
    </cfRule>
    <cfRule type="containsText" dxfId="1233" priority="1338" operator="containsText" text="Functioning">
      <formula>NOT(ISERROR(SEARCH("Functioning",K193)))</formula>
    </cfRule>
  </conditionalFormatting>
  <conditionalFormatting sqref="D212">
    <cfRule type="beginsWith" dxfId="1232" priority="1333" stopIfTrue="1" operator="beginsWith" text="Functioning At Risk">
      <formula>LEFT(D212,LEN("Functioning At Risk"))="Functioning At Risk"</formula>
    </cfRule>
    <cfRule type="beginsWith" dxfId="1231" priority="1334" stopIfTrue="1" operator="beginsWith" text="Not Functioning">
      <formula>LEFT(D212,LEN("Not Functioning"))="Not Functioning"</formula>
    </cfRule>
    <cfRule type="containsText" dxfId="1230" priority="1335" operator="containsText" text="Functioning">
      <formula>NOT(ISERROR(SEARCH("Functioning",D212)))</formula>
    </cfRule>
  </conditionalFormatting>
  <conditionalFormatting sqref="D222">
    <cfRule type="beginsWith" dxfId="1229" priority="1330" stopIfTrue="1" operator="beginsWith" text="Functioning At Risk">
      <formula>LEFT(D222,LEN("Functioning At Risk"))="Functioning At Risk"</formula>
    </cfRule>
    <cfRule type="beginsWith" dxfId="1228" priority="1331" stopIfTrue="1" operator="beginsWith" text="Not Functioning">
      <formula>LEFT(D222,LEN("Not Functioning"))="Not Functioning"</formula>
    </cfRule>
    <cfRule type="containsText" dxfId="1227" priority="1332" operator="containsText" text="Functioning">
      <formula>NOT(ISERROR(SEARCH("Functioning",D222)))</formula>
    </cfRule>
  </conditionalFormatting>
  <conditionalFormatting sqref="C212">
    <cfRule type="beginsWith" dxfId="1226" priority="1318" stopIfTrue="1" operator="beginsWith" text="Functioning At Risk">
      <formula>LEFT(C212,LEN("Functioning At Risk"))="Functioning At Risk"</formula>
    </cfRule>
    <cfRule type="beginsWith" dxfId="1225" priority="1319" stopIfTrue="1" operator="beginsWith" text="Not Functioning">
      <formula>LEFT(C212,LEN("Not Functioning"))="Not Functioning"</formula>
    </cfRule>
    <cfRule type="containsText" dxfId="1224" priority="1320" operator="containsText" text="Functioning">
      <formula>NOT(ISERROR(SEARCH("Functioning",C212)))</formula>
    </cfRule>
  </conditionalFormatting>
  <conditionalFormatting sqref="C210">
    <cfRule type="beginsWith" dxfId="1223" priority="1327" stopIfTrue="1" operator="beginsWith" text="Functioning At Risk">
      <formula>LEFT(C210,LEN("Functioning At Risk"))="Functioning At Risk"</formula>
    </cfRule>
    <cfRule type="beginsWith" dxfId="1222" priority="1328" stopIfTrue="1" operator="beginsWith" text="Not Functioning">
      <formula>LEFT(C210,LEN("Not Functioning"))="Not Functioning"</formula>
    </cfRule>
    <cfRule type="containsText" dxfId="1221" priority="1329" operator="containsText" text="Functioning">
      <formula>NOT(ISERROR(SEARCH("Functioning",C210)))</formula>
    </cfRule>
  </conditionalFormatting>
  <conditionalFormatting sqref="C211">
    <cfRule type="beginsWith" dxfId="1220" priority="1324" stopIfTrue="1" operator="beginsWith" text="Functioning At Risk">
      <formula>LEFT(C211,LEN("Functioning At Risk"))="Functioning At Risk"</formula>
    </cfRule>
    <cfRule type="beginsWith" dxfId="1219" priority="1325" stopIfTrue="1" operator="beginsWith" text="Not Functioning">
      <formula>LEFT(C211,LEN("Not Functioning"))="Not Functioning"</formula>
    </cfRule>
    <cfRule type="containsText" dxfId="1218" priority="1326" operator="containsText" text="Functioning">
      <formula>NOT(ISERROR(SEARCH("Functioning",C211)))</formula>
    </cfRule>
  </conditionalFormatting>
  <conditionalFormatting sqref="C208:D209">
    <cfRule type="beginsWith" dxfId="1217" priority="1321" stopIfTrue="1" operator="beginsWith" text="Functioning At Risk">
      <formula>LEFT(C208,LEN("Functioning At Risk"))="Functioning At Risk"</formula>
    </cfRule>
    <cfRule type="beginsWith" dxfId="1216" priority="1322" stopIfTrue="1" operator="beginsWith" text="Not Functioning">
      <formula>LEFT(C208,LEN("Not Functioning"))="Not Functioning"</formula>
    </cfRule>
    <cfRule type="containsText" dxfId="1215" priority="1323" operator="containsText" text="Functioning">
      <formula>NOT(ISERROR(SEARCH("Functioning",C208)))</formula>
    </cfRule>
  </conditionalFormatting>
  <conditionalFormatting sqref="F224:F225 F202 F197 F220 F204:F205">
    <cfRule type="beginsWith" dxfId="1214" priority="1312" stopIfTrue="1" operator="beginsWith" text="Functioning At Risk">
      <formula>LEFT(F197,LEN("Functioning At Risk"))="Functioning At Risk"</formula>
    </cfRule>
    <cfRule type="beginsWith" dxfId="1213" priority="1313" stopIfTrue="1" operator="beginsWith" text="Not Functioning">
      <formula>LEFT(F197,LEN("Not Functioning"))="Not Functioning"</formula>
    </cfRule>
    <cfRule type="containsText" dxfId="1212" priority="1314" operator="containsText" text="Functioning">
      <formula>NOT(ISERROR(SEARCH("Functioning",F197)))</formula>
    </cfRule>
  </conditionalFormatting>
  <conditionalFormatting sqref="F208:F209">
    <cfRule type="beginsWith" dxfId="1211" priority="1306" stopIfTrue="1" operator="beginsWith" text="Functioning At Risk">
      <formula>LEFT(F208,LEN("Functioning At Risk"))="Functioning At Risk"</formula>
    </cfRule>
    <cfRule type="beginsWith" dxfId="1210" priority="1307" stopIfTrue="1" operator="beginsWith" text="Not Functioning">
      <formula>LEFT(F208,LEN("Not Functioning"))="Not Functioning"</formula>
    </cfRule>
    <cfRule type="containsText" dxfId="1209" priority="1308" operator="containsText" text="Functioning">
      <formula>NOT(ISERROR(SEARCH("Functioning",F208)))</formula>
    </cfRule>
  </conditionalFormatting>
  <conditionalFormatting sqref="E224:E225 E197:E198 E218 E202:E206">
    <cfRule type="beginsWith" dxfId="1208" priority="1300" stopIfTrue="1" operator="beginsWith" text="Functioning At Risk">
      <formula>LEFT(E197,LEN("Functioning At Risk"))="Functioning At Risk"</formula>
    </cfRule>
    <cfRule type="beginsWith" dxfId="1207" priority="1301" stopIfTrue="1" operator="beginsWith" text="Not Functioning">
      <formula>LEFT(E197,LEN("Not Functioning"))="Not Functioning"</formula>
    </cfRule>
    <cfRule type="containsText" dxfId="1206" priority="1302" operator="containsText" text="Functioning">
      <formula>NOT(ISERROR(SEARCH("Functioning",E197)))</formula>
    </cfRule>
  </conditionalFormatting>
  <conditionalFormatting sqref="E220">
    <cfRule type="expression" dxfId="1205" priority="1298">
      <formula>B151="Level 5 - Biology"</formula>
    </cfRule>
    <cfRule type="expression" dxfId="1204" priority="1299">
      <formula>B151="Level 4 - Physicochemical"</formula>
    </cfRule>
  </conditionalFormatting>
  <conditionalFormatting sqref="E224:E225">
    <cfRule type="expression" dxfId="1203" priority="1297">
      <formula>B151="Level 5 - Biology"</formula>
    </cfRule>
  </conditionalFormatting>
  <conditionalFormatting sqref="E226">
    <cfRule type="beginsWith" dxfId="1202" priority="1294" stopIfTrue="1" operator="beginsWith" text="Functioning At Risk">
      <formula>LEFT(E226,LEN("Functioning At Risk"))="Functioning At Risk"</formula>
    </cfRule>
    <cfRule type="beginsWith" dxfId="1201" priority="1295" stopIfTrue="1" operator="beginsWith" text="Not Functioning">
      <formula>LEFT(E226,LEN("Not Functioning"))="Not Functioning"</formula>
    </cfRule>
    <cfRule type="containsText" dxfId="1200" priority="1296" operator="containsText" text="Functioning">
      <formula>NOT(ISERROR(SEARCH("Functioning",E226)))</formula>
    </cfRule>
  </conditionalFormatting>
  <conditionalFormatting sqref="E218">
    <cfRule type="expression" dxfId="1199" priority="1288">
      <formula>B151="Level 4 - Physicochemical"</formula>
    </cfRule>
    <cfRule type="expression" dxfId="1198" priority="1293">
      <formula>B151="Level 5 - Biology"</formula>
    </cfRule>
  </conditionalFormatting>
  <conditionalFormatting sqref="E221">
    <cfRule type="expression" dxfId="1197" priority="1287">
      <formula>B151="Level 4 - Physicochemical"</formula>
    </cfRule>
    <cfRule type="expression" dxfId="1196" priority="1292">
      <formula>B151="Level 5 - Biology"</formula>
    </cfRule>
  </conditionalFormatting>
  <conditionalFormatting sqref="E222">
    <cfRule type="expression" dxfId="1195" priority="1286">
      <formula>B151="Level 4 - Physicochemical"</formula>
    </cfRule>
    <cfRule type="expression" dxfId="1194" priority="1291">
      <formula>B151="Level 5 - Biology"</formula>
    </cfRule>
  </conditionalFormatting>
  <conditionalFormatting sqref="E223">
    <cfRule type="expression" dxfId="1193" priority="1285">
      <formula>B151="Level 4 - Physicochemical"</formula>
    </cfRule>
    <cfRule type="expression" dxfId="1192" priority="1290">
      <formula>B151="Level 5 - Biology"</formula>
    </cfRule>
  </conditionalFormatting>
  <conditionalFormatting sqref="E226">
    <cfRule type="expression" dxfId="1191" priority="1289">
      <formula>B151="Level 5 - Biology"</formula>
    </cfRule>
  </conditionalFormatting>
  <conditionalFormatting sqref="E201">
    <cfRule type="beginsWith" dxfId="1190" priority="1282" stopIfTrue="1" operator="beginsWith" text="Functioning At Risk">
      <formula>LEFT(E201,LEN("Functioning At Risk"))="Functioning At Risk"</formula>
    </cfRule>
    <cfRule type="beginsWith" dxfId="1189" priority="1283" stopIfTrue="1" operator="beginsWith" text="Not Functioning">
      <formula>LEFT(E201,LEN("Not Functioning"))="Not Functioning"</formula>
    </cfRule>
    <cfRule type="containsText" dxfId="1188" priority="1284" operator="containsText" text="Functioning">
      <formula>NOT(ISERROR(SEARCH("Functioning",E201)))</formula>
    </cfRule>
  </conditionalFormatting>
  <conditionalFormatting sqref="E219">
    <cfRule type="expression" dxfId="1187" priority="1277">
      <formula>B151="Level 5 - Biology"</formula>
    </cfRule>
    <cfRule type="expression" dxfId="1186" priority="1278">
      <formula>B151="Level 4 - Physicochemical"</formula>
    </cfRule>
    <cfRule type="beginsWith" dxfId="1185" priority="1279" stopIfTrue="1" operator="beginsWith" text="Functioning At Risk">
      <formula>LEFT(E219,LEN("Functioning At Risk"))="Functioning At Risk"</formula>
    </cfRule>
    <cfRule type="beginsWith" dxfId="1184" priority="1280" stopIfTrue="1" operator="beginsWith" text="Not Functioning">
      <formula>LEFT(E219,LEN("Not Functioning"))="Not Functioning"</formula>
    </cfRule>
    <cfRule type="containsText" dxfId="1183" priority="1281" operator="containsText" text="Functioning">
      <formula>NOT(ISERROR(SEARCH("Functioning",E219)))</formula>
    </cfRule>
  </conditionalFormatting>
  <conditionalFormatting sqref="E258">
    <cfRule type="beginsWith" dxfId="1182" priority="1199" stopIfTrue="1" operator="beginsWith" text="Functioning At Risk">
      <formula>LEFT(E258,LEN("Functioning At Risk"))="Functioning At Risk"</formula>
    </cfRule>
    <cfRule type="beginsWith" dxfId="1181" priority="1200" stopIfTrue="1" operator="beginsWith" text="Not Functioning">
      <formula>LEFT(E258,LEN("Not Functioning"))="Not Functioning"</formula>
    </cfRule>
    <cfRule type="containsText" dxfId="1180" priority="1201" operator="containsText" text="Functioning">
      <formula>NOT(ISERROR(SEARCH("Functioning",E258)))</formula>
    </cfRule>
  </conditionalFormatting>
  <conditionalFormatting sqref="E246:E247">
    <cfRule type="beginsWith" dxfId="1179" priority="1170" stopIfTrue="1" operator="beginsWith" text="Functioning At Risk">
      <formula>LEFT(E246,LEN("Functioning At Risk"))="Functioning At Risk"</formula>
    </cfRule>
    <cfRule type="beginsWith" dxfId="1178" priority="1171" stopIfTrue="1" operator="beginsWith" text="Not Functioning">
      <formula>LEFT(E246,LEN("Not Functioning"))="Not Functioning"</formula>
    </cfRule>
    <cfRule type="containsText" dxfId="1177" priority="1172" operator="containsText" text="Functioning">
      <formula>NOT(ISERROR(SEARCH("Functioning",E246)))</formula>
    </cfRule>
  </conditionalFormatting>
  <conditionalFormatting sqref="I235 I256 I237:I238 A230:C230 G229 I262:I263 C240:D240 I231:I233 E230:K230 C262:D263 C235:D236 B258:D258 L255:L264 B257 M241:M254 B242:D244 D255:D256">
    <cfRule type="beginsWith" dxfId="1176" priority="1271" stopIfTrue="1" operator="beginsWith" text="Functioning At Risk">
      <formula>LEFT(A229,LEN("Functioning At Risk"))="Functioning At Risk"</formula>
    </cfRule>
    <cfRule type="beginsWith" dxfId="1175" priority="1272" stopIfTrue="1" operator="beginsWith" text="Not Functioning">
      <formula>LEFT(A229,LEN("Not Functioning"))="Not Functioning"</formula>
    </cfRule>
    <cfRule type="containsText" dxfId="1174" priority="1273" operator="containsText" text="Functioning">
      <formula>NOT(ISERROR(SEARCH("Functioning",A229)))</formula>
    </cfRule>
  </conditionalFormatting>
  <conditionalFormatting sqref="D248">
    <cfRule type="beginsWith" dxfId="1173" priority="1268" stopIfTrue="1" operator="beginsWith" text="Functioning At Risk">
      <formula>LEFT(D248,LEN("Functioning At Risk"))="Functioning At Risk"</formula>
    </cfRule>
    <cfRule type="beginsWith" dxfId="1172" priority="1269" stopIfTrue="1" operator="beginsWith" text="Not Functioning">
      <formula>LEFT(D248,LEN("Not Functioning"))="Not Functioning"</formula>
    </cfRule>
    <cfRule type="containsText" dxfId="1171" priority="1270" operator="containsText" text="Functioning">
      <formula>NOT(ISERROR(SEARCH("Functioning",D248)))</formula>
    </cfRule>
  </conditionalFormatting>
  <conditionalFormatting sqref="C264:D264">
    <cfRule type="beginsWith" dxfId="1170" priority="1265" stopIfTrue="1" operator="beginsWith" text="Functioning At Risk">
      <formula>LEFT(C264,LEN("Functioning At Risk"))="Functioning At Risk"</formula>
    </cfRule>
    <cfRule type="beginsWith" dxfId="1169" priority="1266" stopIfTrue="1" operator="beginsWith" text="Not Functioning">
      <formula>LEFT(C264,LEN("Not Functioning"))="Not Functioning"</formula>
    </cfRule>
    <cfRule type="containsText" dxfId="1168" priority="1267" operator="containsText" text="Functioning">
      <formula>NOT(ISERROR(SEARCH("Functioning",C264)))</formula>
    </cfRule>
  </conditionalFormatting>
  <conditionalFormatting sqref="C241:D241">
    <cfRule type="beginsWith" dxfId="1167" priority="1262" stopIfTrue="1" operator="beginsWith" text="Functioning At Risk">
      <formula>LEFT(C241,LEN("Functioning At Risk"))="Functioning At Risk"</formula>
    </cfRule>
    <cfRule type="beginsWith" dxfId="1166" priority="1263" stopIfTrue="1" operator="beginsWith" text="Not Functioning">
      <formula>LEFT(C241,LEN("Not Functioning"))="Not Functioning"</formula>
    </cfRule>
    <cfRule type="containsText" dxfId="1165" priority="1264" operator="containsText" text="Functioning">
      <formula>NOT(ISERROR(SEARCH("Functioning",C241)))</formula>
    </cfRule>
  </conditionalFormatting>
  <conditionalFormatting sqref="C259:D259">
    <cfRule type="beginsWith" dxfId="1164" priority="1259" stopIfTrue="1" operator="beginsWith" text="Functioning At Risk">
      <formula>LEFT(C259,LEN("Functioning At Risk"))="Functioning At Risk"</formula>
    </cfRule>
    <cfRule type="beginsWith" dxfId="1163" priority="1260" stopIfTrue="1" operator="beginsWith" text="Not Functioning">
      <formula>LEFT(C259,LEN("Not Functioning"))="Not Functioning"</formula>
    </cfRule>
    <cfRule type="containsText" dxfId="1162" priority="1261" operator="containsText" text="Functioning">
      <formula>NOT(ISERROR(SEARCH("Functioning",C259)))</formula>
    </cfRule>
  </conditionalFormatting>
  <conditionalFormatting sqref="C245:D245">
    <cfRule type="beginsWith" dxfId="1161" priority="1256" stopIfTrue="1" operator="beginsWith" text="Functioning At Risk">
      <formula>LEFT(C245,LEN("Functioning At Risk"))="Functioning At Risk"</formula>
    </cfRule>
    <cfRule type="beginsWith" dxfId="1160" priority="1257" stopIfTrue="1" operator="beginsWith" text="Not Functioning">
      <formula>LEFT(C245,LEN("Not Functioning"))="Not Functioning"</formula>
    </cfRule>
    <cfRule type="containsText" dxfId="1159" priority="1258" operator="containsText" text="Functioning">
      <formula>NOT(ISERROR(SEARCH("Functioning",C245)))</formula>
    </cfRule>
  </conditionalFormatting>
  <conditionalFormatting sqref="D249">
    <cfRule type="beginsWith" dxfId="1158" priority="1253" stopIfTrue="1" operator="beginsWith" text="Functioning At Risk">
      <formula>LEFT(D249,LEN("Functioning At Risk"))="Functioning At Risk"</formula>
    </cfRule>
    <cfRule type="beginsWith" dxfId="1157" priority="1254" stopIfTrue="1" operator="beginsWith" text="Not Functioning">
      <formula>LEFT(D249,LEN("Not Functioning"))="Not Functioning"</formula>
    </cfRule>
    <cfRule type="containsText" dxfId="1156" priority="1255" operator="containsText" text="Functioning">
      <formula>NOT(ISERROR(SEARCH("Functioning",D249)))</formula>
    </cfRule>
  </conditionalFormatting>
  <conditionalFormatting sqref="C239:D239">
    <cfRule type="beginsWith" dxfId="1155" priority="1250" stopIfTrue="1" operator="beginsWith" text="Functioning At Risk">
      <formula>LEFT(C239,LEN("Functioning At Risk"))="Functioning At Risk"</formula>
    </cfRule>
    <cfRule type="beginsWith" dxfId="1154" priority="1251" stopIfTrue="1" operator="beginsWith" text="Not Functioning">
      <formula>LEFT(C239,LEN("Not Functioning"))="Not Functioning"</formula>
    </cfRule>
    <cfRule type="containsText" dxfId="1153" priority="1252" operator="containsText" text="Functioning">
      <formula>NOT(ISERROR(SEARCH("Functioning",C239)))</formula>
    </cfRule>
  </conditionalFormatting>
  <conditionalFormatting sqref="B260:B261 A235:B235 A262:B262 A237:A238 B264 A263">
    <cfRule type="beginsWith" dxfId="1152" priority="1247" stopIfTrue="1" operator="beginsWith" text="Functioning At Risk">
      <formula>LEFT(A235,LEN("Functioning At Risk"))="Functioning At Risk"</formula>
    </cfRule>
    <cfRule type="beginsWith" dxfId="1151" priority="1248" stopIfTrue="1" operator="beginsWith" text="Not Functioning">
      <formula>LEFT(A235,LEN("Not Functioning"))="Not Functioning"</formula>
    </cfRule>
    <cfRule type="containsText" dxfId="1150" priority="1249" operator="containsText" text="Functioning">
      <formula>NOT(ISERROR(SEARCH("Functioning",A235)))</formula>
    </cfRule>
  </conditionalFormatting>
  <conditionalFormatting sqref="B239">
    <cfRule type="beginsWith" dxfId="1149" priority="1244" stopIfTrue="1" operator="beginsWith" text="Functioning At Risk">
      <formula>LEFT(B239,LEN("Functioning At Risk"))="Functioning At Risk"</formula>
    </cfRule>
    <cfRule type="beginsWith" dxfId="1148" priority="1245" stopIfTrue="1" operator="beginsWith" text="Not Functioning">
      <formula>LEFT(B239,LEN("Not Functioning"))="Not Functioning"</formula>
    </cfRule>
    <cfRule type="containsText" dxfId="1147" priority="1246" operator="containsText" text="Functioning">
      <formula>NOT(ISERROR(SEARCH("Functioning",B239)))</formula>
    </cfRule>
  </conditionalFormatting>
  <conditionalFormatting sqref="B256">
    <cfRule type="beginsWith" dxfId="1146" priority="1241" stopIfTrue="1" operator="beginsWith" text="Functioning At Risk">
      <formula>LEFT(B256,LEN("Functioning At Risk"))="Functioning At Risk"</formula>
    </cfRule>
    <cfRule type="beginsWith" dxfId="1145" priority="1242" stopIfTrue="1" operator="beginsWith" text="Not Functioning">
      <formula>LEFT(B256,LEN("Not Functioning"))="Not Functioning"</formula>
    </cfRule>
    <cfRule type="containsText" dxfId="1144" priority="1243" operator="containsText" text="Functioning">
      <formula>NOT(ISERROR(SEARCH("Functioning",B256)))</formula>
    </cfRule>
  </conditionalFormatting>
  <conditionalFormatting sqref="A256">
    <cfRule type="beginsWith" dxfId="1143" priority="1238" stopIfTrue="1" operator="beginsWith" text="Functioning At Risk">
      <formula>LEFT(A256,LEN("Functioning At Risk"))="Functioning At Risk"</formula>
    </cfRule>
    <cfRule type="beginsWith" dxfId="1142" priority="1239" stopIfTrue="1" operator="beginsWith" text="Not Functioning">
      <formula>LEFT(A256,LEN("Not Functioning"))="Not Functioning"</formula>
    </cfRule>
    <cfRule type="containsText" dxfId="1141" priority="1240" operator="containsText" text="Functioning">
      <formula>NOT(ISERROR(SEARCH("Functioning",A256)))</formula>
    </cfRule>
  </conditionalFormatting>
  <conditionalFormatting sqref="K231:K233">
    <cfRule type="beginsWith" dxfId="1140" priority="1232" stopIfTrue="1" operator="beginsWith" text="Functioning At Risk">
      <formula>LEFT(K231,LEN("Functioning At Risk"))="Functioning At Risk"</formula>
    </cfRule>
    <cfRule type="beginsWith" dxfId="1139" priority="1233" stopIfTrue="1" operator="beginsWith" text="Not Functioning">
      <formula>LEFT(K231,LEN("Not Functioning"))="Not Functioning"</formula>
    </cfRule>
    <cfRule type="containsText" dxfId="1138" priority="1234" operator="containsText" text="Functioning">
      <formula>NOT(ISERROR(SEARCH("Functioning",K231)))</formula>
    </cfRule>
  </conditionalFormatting>
  <conditionalFormatting sqref="D250">
    <cfRule type="beginsWith" dxfId="1137" priority="1229" stopIfTrue="1" operator="beginsWith" text="Functioning At Risk">
      <formula>LEFT(D250,LEN("Functioning At Risk"))="Functioning At Risk"</formula>
    </cfRule>
    <cfRule type="beginsWith" dxfId="1136" priority="1230" stopIfTrue="1" operator="beginsWith" text="Not Functioning">
      <formula>LEFT(D250,LEN("Not Functioning"))="Not Functioning"</formula>
    </cfRule>
    <cfRule type="containsText" dxfId="1135" priority="1231" operator="containsText" text="Functioning">
      <formula>NOT(ISERROR(SEARCH("Functioning",D250)))</formula>
    </cfRule>
  </conditionalFormatting>
  <conditionalFormatting sqref="D260">
    <cfRule type="beginsWith" dxfId="1134" priority="1226" stopIfTrue="1" operator="beginsWith" text="Functioning At Risk">
      <formula>LEFT(D260,LEN("Functioning At Risk"))="Functioning At Risk"</formula>
    </cfRule>
    <cfRule type="beginsWith" dxfId="1133" priority="1227" stopIfTrue="1" operator="beginsWith" text="Not Functioning">
      <formula>LEFT(D260,LEN("Not Functioning"))="Not Functioning"</formula>
    </cfRule>
    <cfRule type="containsText" dxfId="1132" priority="1228" operator="containsText" text="Functioning">
      <formula>NOT(ISERROR(SEARCH("Functioning",D260)))</formula>
    </cfRule>
  </conditionalFormatting>
  <conditionalFormatting sqref="C250">
    <cfRule type="beginsWith" dxfId="1131" priority="1214" stopIfTrue="1" operator="beginsWith" text="Functioning At Risk">
      <formula>LEFT(C250,LEN("Functioning At Risk"))="Functioning At Risk"</formula>
    </cfRule>
    <cfRule type="beginsWith" dxfId="1130" priority="1215" stopIfTrue="1" operator="beginsWith" text="Not Functioning">
      <formula>LEFT(C250,LEN("Not Functioning"))="Not Functioning"</formula>
    </cfRule>
    <cfRule type="containsText" dxfId="1129" priority="1216" operator="containsText" text="Functioning">
      <formula>NOT(ISERROR(SEARCH("Functioning",C250)))</formula>
    </cfRule>
  </conditionalFormatting>
  <conditionalFormatting sqref="C248">
    <cfRule type="beginsWith" dxfId="1128" priority="1223" stopIfTrue="1" operator="beginsWith" text="Functioning At Risk">
      <formula>LEFT(C248,LEN("Functioning At Risk"))="Functioning At Risk"</formula>
    </cfRule>
    <cfRule type="beginsWith" dxfId="1127" priority="1224" stopIfTrue="1" operator="beginsWith" text="Not Functioning">
      <formula>LEFT(C248,LEN("Not Functioning"))="Not Functioning"</formula>
    </cfRule>
    <cfRule type="containsText" dxfId="1126" priority="1225" operator="containsText" text="Functioning">
      <formula>NOT(ISERROR(SEARCH("Functioning",C248)))</formula>
    </cfRule>
  </conditionalFormatting>
  <conditionalFormatting sqref="C249">
    <cfRule type="beginsWith" dxfId="1125" priority="1220" stopIfTrue="1" operator="beginsWith" text="Functioning At Risk">
      <formula>LEFT(C249,LEN("Functioning At Risk"))="Functioning At Risk"</formula>
    </cfRule>
    <cfRule type="beginsWith" dxfId="1124" priority="1221" stopIfTrue="1" operator="beginsWith" text="Not Functioning">
      <formula>LEFT(C249,LEN("Not Functioning"))="Not Functioning"</formula>
    </cfRule>
    <cfRule type="containsText" dxfId="1123" priority="1222" operator="containsText" text="Functioning">
      <formula>NOT(ISERROR(SEARCH("Functioning",C249)))</formula>
    </cfRule>
  </conditionalFormatting>
  <conditionalFormatting sqref="C246:D247">
    <cfRule type="beginsWith" dxfId="1122" priority="1217" stopIfTrue="1" operator="beginsWith" text="Functioning At Risk">
      <formula>LEFT(C246,LEN("Functioning At Risk"))="Functioning At Risk"</formula>
    </cfRule>
    <cfRule type="beginsWith" dxfId="1121" priority="1218" stopIfTrue="1" operator="beginsWith" text="Not Functioning">
      <formula>LEFT(C246,LEN("Not Functioning"))="Not Functioning"</formula>
    </cfRule>
    <cfRule type="containsText" dxfId="1120" priority="1219" operator="containsText" text="Functioning">
      <formula>NOT(ISERROR(SEARCH("Functioning",C246)))</formula>
    </cfRule>
  </conditionalFormatting>
  <conditionalFormatting sqref="F262:F263 F240 F235 F258 F242:F243">
    <cfRule type="beginsWith" dxfId="1119" priority="1208" stopIfTrue="1" operator="beginsWith" text="Functioning At Risk">
      <formula>LEFT(F235,LEN("Functioning At Risk"))="Functioning At Risk"</formula>
    </cfRule>
    <cfRule type="beginsWith" dxfId="1118" priority="1209" stopIfTrue="1" operator="beginsWith" text="Not Functioning">
      <formula>LEFT(F235,LEN("Not Functioning"))="Not Functioning"</formula>
    </cfRule>
    <cfRule type="containsText" dxfId="1117" priority="1210" operator="containsText" text="Functioning">
      <formula>NOT(ISERROR(SEARCH("Functioning",F235)))</formula>
    </cfRule>
  </conditionalFormatting>
  <conditionalFormatting sqref="F246:F247">
    <cfRule type="beginsWith" dxfId="1116" priority="1202" stopIfTrue="1" operator="beginsWith" text="Functioning At Risk">
      <formula>LEFT(F246,LEN("Functioning At Risk"))="Functioning At Risk"</formula>
    </cfRule>
    <cfRule type="beginsWith" dxfId="1115" priority="1203" stopIfTrue="1" operator="beginsWith" text="Not Functioning">
      <formula>LEFT(F246,LEN("Not Functioning"))="Not Functioning"</formula>
    </cfRule>
    <cfRule type="containsText" dxfId="1114" priority="1204" operator="containsText" text="Functioning">
      <formula>NOT(ISERROR(SEARCH("Functioning",F246)))</formula>
    </cfRule>
  </conditionalFormatting>
  <conditionalFormatting sqref="E262:E263 E235:E236 E256 E240:E244">
    <cfRule type="beginsWith" dxfId="1113" priority="1196" stopIfTrue="1" operator="beginsWith" text="Functioning At Risk">
      <formula>LEFT(E235,LEN("Functioning At Risk"))="Functioning At Risk"</formula>
    </cfRule>
    <cfRule type="beginsWith" dxfId="1112" priority="1197" stopIfTrue="1" operator="beginsWith" text="Not Functioning">
      <formula>LEFT(E235,LEN("Not Functioning"))="Not Functioning"</formula>
    </cfRule>
    <cfRule type="containsText" dxfId="1111" priority="1198" operator="containsText" text="Functioning">
      <formula>NOT(ISERROR(SEARCH("Functioning",E235)))</formula>
    </cfRule>
  </conditionalFormatting>
  <conditionalFormatting sqref="E258">
    <cfRule type="expression" dxfId="1110" priority="1194">
      <formula>B189="Level 5 - Biology"</formula>
    </cfRule>
    <cfRule type="expression" dxfId="1109" priority="1195">
      <formula>B189="Level 4 - Physicochemical"</formula>
    </cfRule>
  </conditionalFormatting>
  <conditionalFormatting sqref="E262:E263">
    <cfRule type="expression" dxfId="1108" priority="1193">
      <formula>B189="Level 5 - Biology"</formula>
    </cfRule>
  </conditionalFormatting>
  <conditionalFormatting sqref="E264">
    <cfRule type="beginsWith" dxfId="1107" priority="1190" stopIfTrue="1" operator="beginsWith" text="Functioning At Risk">
      <formula>LEFT(E264,LEN("Functioning At Risk"))="Functioning At Risk"</formula>
    </cfRule>
    <cfRule type="beginsWith" dxfId="1106" priority="1191" stopIfTrue="1" operator="beginsWith" text="Not Functioning">
      <formula>LEFT(E264,LEN("Not Functioning"))="Not Functioning"</formula>
    </cfRule>
    <cfRule type="containsText" dxfId="1105" priority="1192" operator="containsText" text="Functioning">
      <formula>NOT(ISERROR(SEARCH("Functioning",E264)))</formula>
    </cfRule>
  </conditionalFormatting>
  <conditionalFormatting sqref="E256">
    <cfRule type="expression" dxfId="1104" priority="1184">
      <formula>B189="Level 4 - Physicochemical"</formula>
    </cfRule>
    <cfRule type="expression" dxfId="1103" priority="1189">
      <formula>B189="Level 5 - Biology"</formula>
    </cfRule>
  </conditionalFormatting>
  <conditionalFormatting sqref="E259">
    <cfRule type="expression" dxfId="1102" priority="1183">
      <formula>B189="Level 4 - Physicochemical"</formula>
    </cfRule>
    <cfRule type="expression" dxfId="1101" priority="1188">
      <formula>B189="Level 5 - Biology"</formula>
    </cfRule>
  </conditionalFormatting>
  <conditionalFormatting sqref="E260">
    <cfRule type="expression" dxfId="1100" priority="1182">
      <formula>B189="Level 4 - Physicochemical"</formula>
    </cfRule>
    <cfRule type="expression" dxfId="1099" priority="1187">
      <formula>B189="Level 5 - Biology"</formula>
    </cfRule>
  </conditionalFormatting>
  <conditionalFormatting sqref="E261">
    <cfRule type="expression" dxfId="1098" priority="1181">
      <formula>B189="Level 4 - Physicochemical"</formula>
    </cfRule>
    <cfRule type="expression" dxfId="1097" priority="1186">
      <formula>B189="Level 5 - Biology"</formula>
    </cfRule>
  </conditionalFormatting>
  <conditionalFormatting sqref="E264">
    <cfRule type="expression" dxfId="1096" priority="1185">
      <formula>B189="Level 5 - Biology"</formula>
    </cfRule>
  </conditionalFormatting>
  <conditionalFormatting sqref="E239">
    <cfRule type="beginsWith" dxfId="1095" priority="1178" stopIfTrue="1" operator="beginsWith" text="Functioning At Risk">
      <formula>LEFT(E239,LEN("Functioning At Risk"))="Functioning At Risk"</formula>
    </cfRule>
    <cfRule type="beginsWith" dxfId="1094" priority="1179" stopIfTrue="1" operator="beginsWith" text="Not Functioning">
      <formula>LEFT(E239,LEN("Not Functioning"))="Not Functioning"</formula>
    </cfRule>
    <cfRule type="containsText" dxfId="1093" priority="1180" operator="containsText" text="Functioning">
      <formula>NOT(ISERROR(SEARCH("Functioning",E239)))</formula>
    </cfRule>
  </conditionalFormatting>
  <conditionalFormatting sqref="E257">
    <cfRule type="expression" dxfId="1092" priority="1173">
      <formula>B189="Level 5 - Biology"</formula>
    </cfRule>
    <cfRule type="expression" dxfId="1091" priority="1174">
      <formula>B189="Level 4 - Physicochemical"</formula>
    </cfRule>
    <cfRule type="beginsWith" dxfId="1090" priority="1175" stopIfTrue="1" operator="beginsWith" text="Functioning At Risk">
      <formula>LEFT(E257,LEN("Functioning At Risk"))="Functioning At Risk"</formula>
    </cfRule>
    <cfRule type="beginsWith" dxfId="1089" priority="1176" stopIfTrue="1" operator="beginsWith" text="Not Functioning">
      <formula>LEFT(E257,LEN("Not Functioning"))="Not Functioning"</formula>
    </cfRule>
    <cfRule type="containsText" dxfId="1088" priority="1177" operator="containsText" text="Functioning">
      <formula>NOT(ISERROR(SEARCH("Functioning",E257)))</formula>
    </cfRule>
  </conditionalFormatting>
  <conditionalFormatting sqref="L265:L266">
    <cfRule type="beginsWith" dxfId="1087" priority="1167" stopIfTrue="1" operator="beginsWith" text="Functioning At Risk">
      <formula>LEFT(L265,LEN("Functioning At Risk"))="Functioning At Risk"</formula>
    </cfRule>
    <cfRule type="beginsWith" dxfId="1086" priority="1168" stopIfTrue="1" operator="beginsWith" text="Not Functioning">
      <formula>LEFT(L265,LEN("Not Functioning"))="Not Functioning"</formula>
    </cfRule>
    <cfRule type="containsText" dxfId="1085" priority="1169" operator="containsText" text="Functioning">
      <formula>NOT(ISERROR(SEARCH("Functioning",L265)))</formula>
    </cfRule>
  </conditionalFormatting>
  <conditionalFormatting sqref="E296">
    <cfRule type="beginsWith" dxfId="1084" priority="1092" stopIfTrue="1" operator="beginsWith" text="Functioning At Risk">
      <formula>LEFT(E296,LEN("Functioning At Risk"))="Functioning At Risk"</formula>
    </cfRule>
    <cfRule type="beginsWith" dxfId="1083" priority="1093" stopIfTrue="1" operator="beginsWith" text="Not Functioning">
      <formula>LEFT(E296,LEN("Not Functioning"))="Not Functioning"</formula>
    </cfRule>
    <cfRule type="containsText" dxfId="1082" priority="1094" operator="containsText" text="Functioning">
      <formula>NOT(ISERROR(SEARCH("Functioning",E296)))</formula>
    </cfRule>
  </conditionalFormatting>
  <conditionalFormatting sqref="I273 I294 I275:I276 A268:C268 G267 I300:I301 C278:D278 I269:I271 E268:K268 C300:D301 C273:D274 B296:D296 L293:L302 B295 M279:M292 B280:D282 D293:D294">
    <cfRule type="beginsWith" dxfId="1081" priority="1164" stopIfTrue="1" operator="beginsWith" text="Functioning At Risk">
      <formula>LEFT(A267,LEN("Functioning At Risk"))="Functioning At Risk"</formula>
    </cfRule>
    <cfRule type="beginsWith" dxfId="1080" priority="1165" stopIfTrue="1" operator="beginsWith" text="Not Functioning">
      <formula>LEFT(A267,LEN("Not Functioning"))="Not Functioning"</formula>
    </cfRule>
    <cfRule type="containsText" dxfId="1079" priority="1166" operator="containsText" text="Functioning">
      <formula>NOT(ISERROR(SEARCH("Functioning",A267)))</formula>
    </cfRule>
  </conditionalFormatting>
  <conditionalFormatting sqref="D286">
    <cfRule type="beginsWith" dxfId="1078" priority="1161" stopIfTrue="1" operator="beginsWith" text="Functioning At Risk">
      <formula>LEFT(D286,LEN("Functioning At Risk"))="Functioning At Risk"</formula>
    </cfRule>
    <cfRule type="beginsWith" dxfId="1077" priority="1162" stopIfTrue="1" operator="beginsWith" text="Not Functioning">
      <formula>LEFT(D286,LEN("Not Functioning"))="Not Functioning"</formula>
    </cfRule>
    <cfRule type="containsText" dxfId="1076" priority="1163" operator="containsText" text="Functioning">
      <formula>NOT(ISERROR(SEARCH("Functioning",D286)))</formula>
    </cfRule>
  </conditionalFormatting>
  <conditionalFormatting sqref="C302:D302">
    <cfRule type="beginsWith" dxfId="1075" priority="1158" stopIfTrue="1" operator="beginsWith" text="Functioning At Risk">
      <formula>LEFT(C302,LEN("Functioning At Risk"))="Functioning At Risk"</formula>
    </cfRule>
    <cfRule type="beginsWith" dxfId="1074" priority="1159" stopIfTrue="1" operator="beginsWith" text="Not Functioning">
      <formula>LEFT(C302,LEN("Not Functioning"))="Not Functioning"</formula>
    </cfRule>
    <cfRule type="containsText" dxfId="1073" priority="1160" operator="containsText" text="Functioning">
      <formula>NOT(ISERROR(SEARCH("Functioning",C302)))</formula>
    </cfRule>
  </conditionalFormatting>
  <conditionalFormatting sqref="C279:D279">
    <cfRule type="beginsWith" dxfId="1072" priority="1155" stopIfTrue="1" operator="beginsWith" text="Functioning At Risk">
      <formula>LEFT(C279,LEN("Functioning At Risk"))="Functioning At Risk"</formula>
    </cfRule>
    <cfRule type="beginsWith" dxfId="1071" priority="1156" stopIfTrue="1" operator="beginsWith" text="Not Functioning">
      <formula>LEFT(C279,LEN("Not Functioning"))="Not Functioning"</formula>
    </cfRule>
    <cfRule type="containsText" dxfId="1070" priority="1157" operator="containsText" text="Functioning">
      <formula>NOT(ISERROR(SEARCH("Functioning",C279)))</formula>
    </cfRule>
  </conditionalFormatting>
  <conditionalFormatting sqref="C297:D297">
    <cfRule type="beginsWith" dxfId="1069" priority="1152" stopIfTrue="1" operator="beginsWith" text="Functioning At Risk">
      <formula>LEFT(C297,LEN("Functioning At Risk"))="Functioning At Risk"</formula>
    </cfRule>
    <cfRule type="beginsWith" dxfId="1068" priority="1153" stopIfTrue="1" operator="beginsWith" text="Not Functioning">
      <formula>LEFT(C297,LEN("Not Functioning"))="Not Functioning"</formula>
    </cfRule>
    <cfRule type="containsText" dxfId="1067" priority="1154" operator="containsText" text="Functioning">
      <formula>NOT(ISERROR(SEARCH("Functioning",C297)))</formula>
    </cfRule>
  </conditionalFormatting>
  <conditionalFormatting sqref="C283:D283">
    <cfRule type="beginsWith" dxfId="1066" priority="1149" stopIfTrue="1" operator="beginsWith" text="Functioning At Risk">
      <formula>LEFT(C283,LEN("Functioning At Risk"))="Functioning At Risk"</formula>
    </cfRule>
    <cfRule type="beginsWith" dxfId="1065" priority="1150" stopIfTrue="1" operator="beginsWith" text="Not Functioning">
      <formula>LEFT(C283,LEN("Not Functioning"))="Not Functioning"</formula>
    </cfRule>
    <cfRule type="containsText" dxfId="1064" priority="1151" operator="containsText" text="Functioning">
      <formula>NOT(ISERROR(SEARCH("Functioning",C283)))</formula>
    </cfRule>
  </conditionalFormatting>
  <conditionalFormatting sqref="D287">
    <cfRule type="beginsWith" dxfId="1063" priority="1146" stopIfTrue="1" operator="beginsWith" text="Functioning At Risk">
      <formula>LEFT(D287,LEN("Functioning At Risk"))="Functioning At Risk"</formula>
    </cfRule>
    <cfRule type="beginsWith" dxfId="1062" priority="1147" stopIfTrue="1" operator="beginsWith" text="Not Functioning">
      <formula>LEFT(D287,LEN("Not Functioning"))="Not Functioning"</formula>
    </cfRule>
    <cfRule type="containsText" dxfId="1061" priority="1148" operator="containsText" text="Functioning">
      <formula>NOT(ISERROR(SEARCH("Functioning",D287)))</formula>
    </cfRule>
  </conditionalFormatting>
  <conditionalFormatting sqref="C277:D277">
    <cfRule type="beginsWith" dxfId="1060" priority="1143" stopIfTrue="1" operator="beginsWith" text="Functioning At Risk">
      <formula>LEFT(C277,LEN("Functioning At Risk"))="Functioning At Risk"</formula>
    </cfRule>
    <cfRule type="beginsWith" dxfId="1059" priority="1144" stopIfTrue="1" operator="beginsWith" text="Not Functioning">
      <formula>LEFT(C277,LEN("Not Functioning"))="Not Functioning"</formula>
    </cfRule>
    <cfRule type="containsText" dxfId="1058" priority="1145" operator="containsText" text="Functioning">
      <formula>NOT(ISERROR(SEARCH("Functioning",C277)))</formula>
    </cfRule>
  </conditionalFormatting>
  <conditionalFormatting sqref="B298:B299 A273:B273 A300:B300 A275:A276 B302 A301">
    <cfRule type="beginsWith" dxfId="1057" priority="1140" stopIfTrue="1" operator="beginsWith" text="Functioning At Risk">
      <formula>LEFT(A273,LEN("Functioning At Risk"))="Functioning At Risk"</formula>
    </cfRule>
    <cfRule type="beginsWith" dxfId="1056" priority="1141" stopIfTrue="1" operator="beginsWith" text="Not Functioning">
      <formula>LEFT(A273,LEN("Not Functioning"))="Not Functioning"</formula>
    </cfRule>
    <cfRule type="containsText" dxfId="1055" priority="1142" operator="containsText" text="Functioning">
      <formula>NOT(ISERROR(SEARCH("Functioning",A273)))</formula>
    </cfRule>
  </conditionalFormatting>
  <conditionalFormatting sqref="B277">
    <cfRule type="beginsWith" dxfId="1054" priority="1137" stopIfTrue="1" operator="beginsWith" text="Functioning At Risk">
      <formula>LEFT(B277,LEN("Functioning At Risk"))="Functioning At Risk"</formula>
    </cfRule>
    <cfRule type="beginsWith" dxfId="1053" priority="1138" stopIfTrue="1" operator="beginsWith" text="Not Functioning">
      <formula>LEFT(B277,LEN("Not Functioning"))="Not Functioning"</formula>
    </cfRule>
    <cfRule type="containsText" dxfId="1052" priority="1139" operator="containsText" text="Functioning">
      <formula>NOT(ISERROR(SEARCH("Functioning",B277)))</formula>
    </cfRule>
  </conditionalFormatting>
  <conditionalFormatting sqref="B294">
    <cfRule type="beginsWith" dxfId="1051" priority="1134" stopIfTrue="1" operator="beginsWith" text="Functioning At Risk">
      <formula>LEFT(B294,LEN("Functioning At Risk"))="Functioning At Risk"</formula>
    </cfRule>
    <cfRule type="beginsWith" dxfId="1050" priority="1135" stopIfTrue="1" operator="beginsWith" text="Not Functioning">
      <formula>LEFT(B294,LEN("Not Functioning"))="Not Functioning"</formula>
    </cfRule>
    <cfRule type="containsText" dxfId="1049" priority="1136" operator="containsText" text="Functioning">
      <formula>NOT(ISERROR(SEARCH("Functioning",B294)))</formula>
    </cfRule>
  </conditionalFormatting>
  <conditionalFormatting sqref="A294">
    <cfRule type="beginsWith" dxfId="1048" priority="1131" stopIfTrue="1" operator="beginsWith" text="Functioning At Risk">
      <formula>LEFT(A294,LEN("Functioning At Risk"))="Functioning At Risk"</formula>
    </cfRule>
    <cfRule type="beginsWith" dxfId="1047" priority="1132" stopIfTrue="1" operator="beginsWith" text="Not Functioning">
      <formula>LEFT(A294,LEN("Not Functioning"))="Not Functioning"</formula>
    </cfRule>
    <cfRule type="containsText" dxfId="1046" priority="1133" operator="containsText" text="Functioning">
      <formula>NOT(ISERROR(SEARCH("Functioning",A294)))</formula>
    </cfRule>
  </conditionalFormatting>
  <conditionalFormatting sqref="K269:K271">
    <cfRule type="beginsWith" dxfId="1045" priority="1125" stopIfTrue="1" operator="beginsWith" text="Functioning At Risk">
      <formula>LEFT(K269,LEN("Functioning At Risk"))="Functioning At Risk"</formula>
    </cfRule>
    <cfRule type="beginsWith" dxfId="1044" priority="1126" stopIfTrue="1" operator="beginsWith" text="Not Functioning">
      <formula>LEFT(K269,LEN("Not Functioning"))="Not Functioning"</formula>
    </cfRule>
    <cfRule type="containsText" dxfId="1043" priority="1127" operator="containsText" text="Functioning">
      <formula>NOT(ISERROR(SEARCH("Functioning",K269)))</formula>
    </cfRule>
  </conditionalFormatting>
  <conditionalFormatting sqref="D288">
    <cfRule type="beginsWith" dxfId="1042" priority="1122" stopIfTrue="1" operator="beginsWith" text="Functioning At Risk">
      <formula>LEFT(D288,LEN("Functioning At Risk"))="Functioning At Risk"</formula>
    </cfRule>
    <cfRule type="beginsWith" dxfId="1041" priority="1123" stopIfTrue="1" operator="beginsWith" text="Not Functioning">
      <formula>LEFT(D288,LEN("Not Functioning"))="Not Functioning"</formula>
    </cfRule>
    <cfRule type="containsText" dxfId="1040" priority="1124" operator="containsText" text="Functioning">
      <formula>NOT(ISERROR(SEARCH("Functioning",D288)))</formula>
    </cfRule>
  </conditionalFormatting>
  <conditionalFormatting sqref="D298">
    <cfRule type="beginsWith" dxfId="1039" priority="1119" stopIfTrue="1" operator="beginsWith" text="Functioning At Risk">
      <formula>LEFT(D298,LEN("Functioning At Risk"))="Functioning At Risk"</formula>
    </cfRule>
    <cfRule type="beginsWith" dxfId="1038" priority="1120" stopIfTrue="1" operator="beginsWith" text="Not Functioning">
      <formula>LEFT(D298,LEN("Not Functioning"))="Not Functioning"</formula>
    </cfRule>
    <cfRule type="containsText" dxfId="1037" priority="1121" operator="containsText" text="Functioning">
      <formula>NOT(ISERROR(SEARCH("Functioning",D298)))</formula>
    </cfRule>
  </conditionalFormatting>
  <conditionalFormatting sqref="C288">
    <cfRule type="beginsWith" dxfId="1036" priority="1107" stopIfTrue="1" operator="beginsWith" text="Functioning At Risk">
      <formula>LEFT(C288,LEN("Functioning At Risk"))="Functioning At Risk"</formula>
    </cfRule>
    <cfRule type="beginsWith" dxfId="1035" priority="1108" stopIfTrue="1" operator="beginsWith" text="Not Functioning">
      <formula>LEFT(C288,LEN("Not Functioning"))="Not Functioning"</formula>
    </cfRule>
    <cfRule type="containsText" dxfId="1034" priority="1109" operator="containsText" text="Functioning">
      <formula>NOT(ISERROR(SEARCH("Functioning",C288)))</formula>
    </cfRule>
  </conditionalFormatting>
  <conditionalFormatting sqref="C286">
    <cfRule type="beginsWith" dxfId="1033" priority="1116" stopIfTrue="1" operator="beginsWith" text="Functioning At Risk">
      <formula>LEFT(C286,LEN("Functioning At Risk"))="Functioning At Risk"</formula>
    </cfRule>
    <cfRule type="beginsWith" dxfId="1032" priority="1117" stopIfTrue="1" operator="beginsWith" text="Not Functioning">
      <formula>LEFT(C286,LEN("Not Functioning"))="Not Functioning"</formula>
    </cfRule>
    <cfRule type="containsText" dxfId="1031" priority="1118" operator="containsText" text="Functioning">
      <formula>NOT(ISERROR(SEARCH("Functioning",C286)))</formula>
    </cfRule>
  </conditionalFormatting>
  <conditionalFormatting sqref="C287">
    <cfRule type="beginsWith" dxfId="1030" priority="1113" stopIfTrue="1" operator="beginsWith" text="Functioning At Risk">
      <formula>LEFT(C287,LEN("Functioning At Risk"))="Functioning At Risk"</formula>
    </cfRule>
    <cfRule type="beginsWith" dxfId="1029" priority="1114" stopIfTrue="1" operator="beginsWith" text="Not Functioning">
      <formula>LEFT(C287,LEN("Not Functioning"))="Not Functioning"</formula>
    </cfRule>
    <cfRule type="containsText" dxfId="1028" priority="1115" operator="containsText" text="Functioning">
      <formula>NOT(ISERROR(SEARCH("Functioning",C287)))</formula>
    </cfRule>
  </conditionalFormatting>
  <conditionalFormatting sqref="C284:D285">
    <cfRule type="beginsWith" dxfId="1027" priority="1110" stopIfTrue="1" operator="beginsWith" text="Functioning At Risk">
      <formula>LEFT(C284,LEN("Functioning At Risk"))="Functioning At Risk"</formula>
    </cfRule>
    <cfRule type="beginsWith" dxfId="1026" priority="1111" stopIfTrue="1" operator="beginsWith" text="Not Functioning">
      <formula>LEFT(C284,LEN("Not Functioning"))="Not Functioning"</formula>
    </cfRule>
    <cfRule type="containsText" dxfId="1025" priority="1112" operator="containsText" text="Functioning">
      <formula>NOT(ISERROR(SEARCH("Functioning",C284)))</formula>
    </cfRule>
  </conditionalFormatting>
  <conditionalFormatting sqref="F300:F301 F278 F273 F296 F280:F281">
    <cfRule type="beginsWith" dxfId="1024" priority="1101" stopIfTrue="1" operator="beginsWith" text="Functioning At Risk">
      <formula>LEFT(F273,LEN("Functioning At Risk"))="Functioning At Risk"</formula>
    </cfRule>
    <cfRule type="beginsWith" dxfId="1023" priority="1102" stopIfTrue="1" operator="beginsWith" text="Not Functioning">
      <formula>LEFT(F273,LEN("Not Functioning"))="Not Functioning"</formula>
    </cfRule>
    <cfRule type="containsText" dxfId="1022" priority="1103" operator="containsText" text="Functioning">
      <formula>NOT(ISERROR(SEARCH("Functioning",F273)))</formula>
    </cfRule>
  </conditionalFormatting>
  <conditionalFormatting sqref="F284:F285">
    <cfRule type="beginsWith" dxfId="1021" priority="1095" stopIfTrue="1" operator="beginsWith" text="Functioning At Risk">
      <formula>LEFT(F284,LEN("Functioning At Risk"))="Functioning At Risk"</formula>
    </cfRule>
    <cfRule type="beginsWith" dxfId="1020" priority="1096" stopIfTrue="1" operator="beginsWith" text="Not Functioning">
      <formula>LEFT(F284,LEN("Not Functioning"))="Not Functioning"</formula>
    </cfRule>
    <cfRule type="containsText" dxfId="1019" priority="1097" operator="containsText" text="Functioning">
      <formula>NOT(ISERROR(SEARCH("Functioning",F284)))</formula>
    </cfRule>
  </conditionalFormatting>
  <conditionalFormatting sqref="E300:E301 E273:E274 E294 E278:E279">
    <cfRule type="beginsWith" dxfId="1018" priority="1089" stopIfTrue="1" operator="beginsWith" text="Functioning At Risk">
      <formula>LEFT(E273,LEN("Functioning At Risk"))="Functioning At Risk"</formula>
    </cfRule>
    <cfRule type="beginsWith" dxfId="1017" priority="1090" stopIfTrue="1" operator="beginsWith" text="Not Functioning">
      <formula>LEFT(E273,LEN("Not Functioning"))="Not Functioning"</formula>
    </cfRule>
    <cfRule type="containsText" dxfId="1016" priority="1091" operator="containsText" text="Functioning">
      <formula>NOT(ISERROR(SEARCH("Functioning",E273)))</formula>
    </cfRule>
  </conditionalFormatting>
  <conditionalFormatting sqref="E296">
    <cfRule type="expression" dxfId="1015" priority="1087">
      <formula>B227="Level 5 - Biology"</formula>
    </cfRule>
    <cfRule type="expression" dxfId="1014" priority="1088">
      <formula>B227="Level 4 - Physicochemical"</formula>
    </cfRule>
  </conditionalFormatting>
  <conditionalFormatting sqref="E300:E301">
    <cfRule type="expression" dxfId="1013" priority="1086">
      <formula>B227="Level 5 - Biology"</formula>
    </cfRule>
  </conditionalFormatting>
  <conditionalFormatting sqref="E302">
    <cfRule type="beginsWith" dxfId="1012" priority="1083" stopIfTrue="1" operator="beginsWith" text="Functioning At Risk">
      <formula>LEFT(E302,LEN("Functioning At Risk"))="Functioning At Risk"</formula>
    </cfRule>
    <cfRule type="beginsWith" dxfId="1011" priority="1084" stopIfTrue="1" operator="beginsWith" text="Not Functioning">
      <formula>LEFT(E302,LEN("Not Functioning"))="Not Functioning"</formula>
    </cfRule>
    <cfRule type="containsText" dxfId="1010" priority="1085" operator="containsText" text="Functioning">
      <formula>NOT(ISERROR(SEARCH("Functioning",E302)))</formula>
    </cfRule>
  </conditionalFormatting>
  <conditionalFormatting sqref="E294">
    <cfRule type="expression" dxfId="1009" priority="1077">
      <formula>B227="Level 4 - Physicochemical"</formula>
    </cfRule>
    <cfRule type="expression" dxfId="1008" priority="1082">
      <formula>B227="Level 5 - Biology"</formula>
    </cfRule>
  </conditionalFormatting>
  <conditionalFormatting sqref="E297">
    <cfRule type="expression" dxfId="1007" priority="1076">
      <formula>B227="Level 4 - Physicochemical"</formula>
    </cfRule>
    <cfRule type="expression" dxfId="1006" priority="1081">
      <formula>B227="Level 5 - Biology"</formula>
    </cfRule>
  </conditionalFormatting>
  <conditionalFormatting sqref="E298">
    <cfRule type="expression" dxfId="1005" priority="1075">
      <formula>B227="Level 4 - Physicochemical"</formula>
    </cfRule>
    <cfRule type="expression" dxfId="1004" priority="1080">
      <formula>B227="Level 5 - Biology"</formula>
    </cfRule>
  </conditionalFormatting>
  <conditionalFormatting sqref="E299">
    <cfRule type="expression" dxfId="1003" priority="1074">
      <formula>B227="Level 4 - Physicochemical"</formula>
    </cfRule>
    <cfRule type="expression" dxfId="1002" priority="1079">
      <formula>B227="Level 5 - Biology"</formula>
    </cfRule>
  </conditionalFormatting>
  <conditionalFormatting sqref="E302">
    <cfRule type="expression" dxfId="1001" priority="1078">
      <formula>B227="Level 5 - Biology"</formula>
    </cfRule>
  </conditionalFormatting>
  <conditionalFormatting sqref="E277">
    <cfRule type="beginsWith" dxfId="1000" priority="1071" stopIfTrue="1" operator="beginsWith" text="Functioning At Risk">
      <formula>LEFT(E277,LEN("Functioning At Risk"))="Functioning At Risk"</formula>
    </cfRule>
    <cfRule type="beginsWith" dxfId="999" priority="1072" stopIfTrue="1" operator="beginsWith" text="Not Functioning">
      <formula>LEFT(E277,LEN("Not Functioning"))="Not Functioning"</formula>
    </cfRule>
    <cfRule type="containsText" dxfId="998" priority="1073" operator="containsText" text="Functioning">
      <formula>NOT(ISERROR(SEARCH("Functioning",E277)))</formula>
    </cfRule>
  </conditionalFormatting>
  <conditionalFormatting sqref="E295">
    <cfRule type="expression" dxfId="997" priority="1066">
      <formula>B227="Level 5 - Biology"</formula>
    </cfRule>
    <cfRule type="expression" dxfId="996" priority="1067">
      <formula>B227="Level 4 - Physicochemical"</formula>
    </cfRule>
    <cfRule type="beginsWith" dxfId="995" priority="1068" stopIfTrue="1" operator="beginsWith" text="Functioning At Risk">
      <formula>LEFT(E295,LEN("Functioning At Risk"))="Functioning At Risk"</formula>
    </cfRule>
    <cfRule type="beginsWith" dxfId="994" priority="1069" stopIfTrue="1" operator="beginsWith" text="Not Functioning">
      <formula>LEFT(E295,LEN("Not Functioning"))="Not Functioning"</formula>
    </cfRule>
    <cfRule type="containsText" dxfId="993" priority="1070" operator="containsText" text="Functioning">
      <formula>NOT(ISERROR(SEARCH("Functioning",E295)))</formula>
    </cfRule>
  </conditionalFormatting>
  <conditionalFormatting sqref="L303:L304">
    <cfRule type="beginsWith" dxfId="992" priority="1060" stopIfTrue="1" operator="beginsWith" text="Functioning At Risk">
      <formula>LEFT(L303,LEN("Functioning At Risk"))="Functioning At Risk"</formula>
    </cfRule>
    <cfRule type="beginsWith" dxfId="991" priority="1061" stopIfTrue="1" operator="beginsWith" text="Not Functioning">
      <formula>LEFT(L303,LEN("Not Functioning"))="Not Functioning"</formula>
    </cfRule>
    <cfRule type="containsText" dxfId="990" priority="1062" operator="containsText" text="Functioning">
      <formula>NOT(ISERROR(SEARCH("Functioning",L303)))</formula>
    </cfRule>
  </conditionalFormatting>
  <conditionalFormatting sqref="E334">
    <cfRule type="beginsWith" dxfId="989" priority="985" stopIfTrue="1" operator="beginsWith" text="Functioning At Risk">
      <formula>LEFT(E334,LEN("Functioning At Risk"))="Functioning At Risk"</formula>
    </cfRule>
    <cfRule type="beginsWith" dxfId="988" priority="986" stopIfTrue="1" operator="beginsWith" text="Not Functioning">
      <formula>LEFT(E334,LEN("Not Functioning"))="Not Functioning"</formula>
    </cfRule>
    <cfRule type="containsText" dxfId="987" priority="987" operator="containsText" text="Functioning">
      <formula>NOT(ISERROR(SEARCH("Functioning",E334)))</formula>
    </cfRule>
  </conditionalFormatting>
  <conditionalFormatting sqref="I311 I332 I313:I314 A306:C306 G305 I338:I339 C316:D316 I307:I309 E306:K306 C338:D339 C311:D312 B334:D334 L331:L340 B333 M317:M330 B318:D320 D331:D332">
    <cfRule type="beginsWith" dxfId="986" priority="1057" stopIfTrue="1" operator="beginsWith" text="Functioning At Risk">
      <formula>LEFT(A305,LEN("Functioning At Risk"))="Functioning At Risk"</formula>
    </cfRule>
    <cfRule type="beginsWith" dxfId="985" priority="1058" stopIfTrue="1" operator="beginsWith" text="Not Functioning">
      <formula>LEFT(A305,LEN("Not Functioning"))="Not Functioning"</formula>
    </cfRule>
    <cfRule type="containsText" dxfId="984" priority="1059" operator="containsText" text="Functioning">
      <formula>NOT(ISERROR(SEARCH("Functioning",A305)))</formula>
    </cfRule>
  </conditionalFormatting>
  <conditionalFormatting sqref="D324">
    <cfRule type="beginsWith" dxfId="983" priority="1054" stopIfTrue="1" operator="beginsWith" text="Functioning At Risk">
      <formula>LEFT(D324,LEN("Functioning At Risk"))="Functioning At Risk"</formula>
    </cfRule>
    <cfRule type="beginsWith" dxfId="982" priority="1055" stopIfTrue="1" operator="beginsWith" text="Not Functioning">
      <formula>LEFT(D324,LEN("Not Functioning"))="Not Functioning"</formula>
    </cfRule>
    <cfRule type="containsText" dxfId="981" priority="1056" operator="containsText" text="Functioning">
      <formula>NOT(ISERROR(SEARCH("Functioning",D324)))</formula>
    </cfRule>
  </conditionalFormatting>
  <conditionalFormatting sqref="C340:D340">
    <cfRule type="beginsWith" dxfId="980" priority="1051" stopIfTrue="1" operator="beginsWith" text="Functioning At Risk">
      <formula>LEFT(C340,LEN("Functioning At Risk"))="Functioning At Risk"</formula>
    </cfRule>
    <cfRule type="beginsWith" dxfId="979" priority="1052" stopIfTrue="1" operator="beginsWith" text="Not Functioning">
      <formula>LEFT(C340,LEN("Not Functioning"))="Not Functioning"</formula>
    </cfRule>
    <cfRule type="containsText" dxfId="978" priority="1053" operator="containsText" text="Functioning">
      <formula>NOT(ISERROR(SEARCH("Functioning",C340)))</formula>
    </cfRule>
  </conditionalFormatting>
  <conditionalFormatting sqref="C317:D317">
    <cfRule type="beginsWith" dxfId="977" priority="1048" stopIfTrue="1" operator="beginsWith" text="Functioning At Risk">
      <formula>LEFT(C317,LEN("Functioning At Risk"))="Functioning At Risk"</formula>
    </cfRule>
    <cfRule type="beginsWith" dxfId="976" priority="1049" stopIfTrue="1" operator="beginsWith" text="Not Functioning">
      <formula>LEFT(C317,LEN("Not Functioning"))="Not Functioning"</formula>
    </cfRule>
    <cfRule type="containsText" dxfId="975" priority="1050" operator="containsText" text="Functioning">
      <formula>NOT(ISERROR(SEARCH("Functioning",C317)))</formula>
    </cfRule>
  </conditionalFormatting>
  <conditionalFormatting sqref="C335:D335">
    <cfRule type="beginsWith" dxfId="974" priority="1045" stopIfTrue="1" operator="beginsWith" text="Functioning At Risk">
      <formula>LEFT(C335,LEN("Functioning At Risk"))="Functioning At Risk"</formula>
    </cfRule>
    <cfRule type="beginsWith" dxfId="973" priority="1046" stopIfTrue="1" operator="beginsWith" text="Not Functioning">
      <formula>LEFT(C335,LEN("Not Functioning"))="Not Functioning"</formula>
    </cfRule>
    <cfRule type="containsText" dxfId="972" priority="1047" operator="containsText" text="Functioning">
      <formula>NOT(ISERROR(SEARCH("Functioning",C335)))</formula>
    </cfRule>
  </conditionalFormatting>
  <conditionalFormatting sqref="C321:D321">
    <cfRule type="beginsWith" dxfId="971" priority="1042" stopIfTrue="1" operator="beginsWith" text="Functioning At Risk">
      <formula>LEFT(C321,LEN("Functioning At Risk"))="Functioning At Risk"</formula>
    </cfRule>
    <cfRule type="beginsWith" dxfId="970" priority="1043" stopIfTrue="1" operator="beginsWith" text="Not Functioning">
      <formula>LEFT(C321,LEN("Not Functioning"))="Not Functioning"</formula>
    </cfRule>
    <cfRule type="containsText" dxfId="969" priority="1044" operator="containsText" text="Functioning">
      <formula>NOT(ISERROR(SEARCH("Functioning",C321)))</formula>
    </cfRule>
  </conditionalFormatting>
  <conditionalFormatting sqref="D325">
    <cfRule type="beginsWith" dxfId="968" priority="1039" stopIfTrue="1" operator="beginsWith" text="Functioning At Risk">
      <formula>LEFT(D325,LEN("Functioning At Risk"))="Functioning At Risk"</formula>
    </cfRule>
    <cfRule type="beginsWith" dxfId="967" priority="1040" stopIfTrue="1" operator="beginsWith" text="Not Functioning">
      <formula>LEFT(D325,LEN("Not Functioning"))="Not Functioning"</formula>
    </cfRule>
    <cfRule type="containsText" dxfId="966" priority="1041" operator="containsText" text="Functioning">
      <formula>NOT(ISERROR(SEARCH("Functioning",D325)))</formula>
    </cfRule>
  </conditionalFormatting>
  <conditionalFormatting sqref="C315:D315">
    <cfRule type="beginsWith" dxfId="965" priority="1036" stopIfTrue="1" operator="beginsWith" text="Functioning At Risk">
      <formula>LEFT(C315,LEN("Functioning At Risk"))="Functioning At Risk"</formula>
    </cfRule>
    <cfRule type="beginsWith" dxfId="964" priority="1037" stopIfTrue="1" operator="beginsWith" text="Not Functioning">
      <formula>LEFT(C315,LEN("Not Functioning"))="Not Functioning"</formula>
    </cfRule>
    <cfRule type="containsText" dxfId="963" priority="1038" operator="containsText" text="Functioning">
      <formula>NOT(ISERROR(SEARCH("Functioning",C315)))</formula>
    </cfRule>
  </conditionalFormatting>
  <conditionalFormatting sqref="B336:B337 A311:B311 A338:B338 A313:A314 B340 A339">
    <cfRule type="beginsWith" dxfId="962" priority="1033" stopIfTrue="1" operator="beginsWith" text="Functioning At Risk">
      <formula>LEFT(A311,LEN("Functioning At Risk"))="Functioning At Risk"</formula>
    </cfRule>
    <cfRule type="beginsWith" dxfId="961" priority="1034" stopIfTrue="1" operator="beginsWith" text="Not Functioning">
      <formula>LEFT(A311,LEN("Not Functioning"))="Not Functioning"</formula>
    </cfRule>
    <cfRule type="containsText" dxfId="960" priority="1035" operator="containsText" text="Functioning">
      <formula>NOT(ISERROR(SEARCH("Functioning",A311)))</formula>
    </cfRule>
  </conditionalFormatting>
  <conditionalFormatting sqref="B315">
    <cfRule type="beginsWith" dxfId="959" priority="1030" stopIfTrue="1" operator="beginsWith" text="Functioning At Risk">
      <formula>LEFT(B315,LEN("Functioning At Risk"))="Functioning At Risk"</formula>
    </cfRule>
    <cfRule type="beginsWith" dxfId="958" priority="1031" stopIfTrue="1" operator="beginsWith" text="Not Functioning">
      <formula>LEFT(B315,LEN("Not Functioning"))="Not Functioning"</formula>
    </cfRule>
    <cfRule type="containsText" dxfId="957" priority="1032" operator="containsText" text="Functioning">
      <formula>NOT(ISERROR(SEARCH("Functioning",B315)))</formula>
    </cfRule>
  </conditionalFormatting>
  <conditionalFormatting sqref="B332">
    <cfRule type="beginsWith" dxfId="956" priority="1027" stopIfTrue="1" operator="beginsWith" text="Functioning At Risk">
      <formula>LEFT(B332,LEN("Functioning At Risk"))="Functioning At Risk"</formula>
    </cfRule>
    <cfRule type="beginsWith" dxfId="955" priority="1028" stopIfTrue="1" operator="beginsWith" text="Not Functioning">
      <formula>LEFT(B332,LEN("Not Functioning"))="Not Functioning"</formula>
    </cfRule>
    <cfRule type="containsText" dxfId="954" priority="1029" operator="containsText" text="Functioning">
      <formula>NOT(ISERROR(SEARCH("Functioning",B332)))</formula>
    </cfRule>
  </conditionalFormatting>
  <conditionalFormatting sqref="A332">
    <cfRule type="beginsWith" dxfId="953" priority="1024" stopIfTrue="1" operator="beginsWith" text="Functioning At Risk">
      <formula>LEFT(A332,LEN("Functioning At Risk"))="Functioning At Risk"</formula>
    </cfRule>
    <cfRule type="beginsWith" dxfId="952" priority="1025" stopIfTrue="1" operator="beginsWith" text="Not Functioning">
      <formula>LEFT(A332,LEN("Not Functioning"))="Not Functioning"</formula>
    </cfRule>
    <cfRule type="containsText" dxfId="951" priority="1026" operator="containsText" text="Functioning">
      <formula>NOT(ISERROR(SEARCH("Functioning",A332)))</formula>
    </cfRule>
  </conditionalFormatting>
  <conditionalFormatting sqref="K307:K309">
    <cfRule type="beginsWith" dxfId="950" priority="1018" stopIfTrue="1" operator="beginsWith" text="Functioning At Risk">
      <formula>LEFT(K307,LEN("Functioning At Risk"))="Functioning At Risk"</formula>
    </cfRule>
    <cfRule type="beginsWith" dxfId="949" priority="1019" stopIfTrue="1" operator="beginsWith" text="Not Functioning">
      <formula>LEFT(K307,LEN("Not Functioning"))="Not Functioning"</formula>
    </cfRule>
    <cfRule type="containsText" dxfId="948" priority="1020" operator="containsText" text="Functioning">
      <formula>NOT(ISERROR(SEARCH("Functioning",K307)))</formula>
    </cfRule>
  </conditionalFormatting>
  <conditionalFormatting sqref="D326">
    <cfRule type="beginsWith" dxfId="947" priority="1015" stopIfTrue="1" operator="beginsWith" text="Functioning At Risk">
      <formula>LEFT(D326,LEN("Functioning At Risk"))="Functioning At Risk"</formula>
    </cfRule>
    <cfRule type="beginsWith" dxfId="946" priority="1016" stopIfTrue="1" operator="beginsWith" text="Not Functioning">
      <formula>LEFT(D326,LEN("Not Functioning"))="Not Functioning"</formula>
    </cfRule>
    <cfRule type="containsText" dxfId="945" priority="1017" operator="containsText" text="Functioning">
      <formula>NOT(ISERROR(SEARCH("Functioning",D326)))</formula>
    </cfRule>
  </conditionalFormatting>
  <conditionalFormatting sqref="D336">
    <cfRule type="beginsWith" dxfId="944" priority="1012" stopIfTrue="1" operator="beginsWith" text="Functioning At Risk">
      <formula>LEFT(D336,LEN("Functioning At Risk"))="Functioning At Risk"</formula>
    </cfRule>
    <cfRule type="beginsWith" dxfId="943" priority="1013" stopIfTrue="1" operator="beginsWith" text="Not Functioning">
      <formula>LEFT(D336,LEN("Not Functioning"))="Not Functioning"</formula>
    </cfRule>
    <cfRule type="containsText" dxfId="942" priority="1014" operator="containsText" text="Functioning">
      <formula>NOT(ISERROR(SEARCH("Functioning",D336)))</formula>
    </cfRule>
  </conditionalFormatting>
  <conditionalFormatting sqref="C326">
    <cfRule type="beginsWith" dxfId="941" priority="1000" stopIfTrue="1" operator="beginsWith" text="Functioning At Risk">
      <formula>LEFT(C326,LEN("Functioning At Risk"))="Functioning At Risk"</formula>
    </cfRule>
    <cfRule type="beginsWith" dxfId="940" priority="1001" stopIfTrue="1" operator="beginsWith" text="Not Functioning">
      <formula>LEFT(C326,LEN("Not Functioning"))="Not Functioning"</formula>
    </cfRule>
    <cfRule type="containsText" dxfId="939" priority="1002" operator="containsText" text="Functioning">
      <formula>NOT(ISERROR(SEARCH("Functioning",C326)))</formula>
    </cfRule>
  </conditionalFormatting>
  <conditionalFormatting sqref="C324">
    <cfRule type="beginsWith" dxfId="938" priority="1009" stopIfTrue="1" operator="beginsWith" text="Functioning At Risk">
      <formula>LEFT(C324,LEN("Functioning At Risk"))="Functioning At Risk"</formula>
    </cfRule>
    <cfRule type="beginsWith" dxfId="937" priority="1010" stopIfTrue="1" operator="beginsWith" text="Not Functioning">
      <formula>LEFT(C324,LEN("Not Functioning"))="Not Functioning"</formula>
    </cfRule>
    <cfRule type="containsText" dxfId="936" priority="1011" operator="containsText" text="Functioning">
      <formula>NOT(ISERROR(SEARCH("Functioning",C324)))</formula>
    </cfRule>
  </conditionalFormatting>
  <conditionalFormatting sqref="C325">
    <cfRule type="beginsWith" dxfId="935" priority="1006" stopIfTrue="1" operator="beginsWith" text="Functioning At Risk">
      <formula>LEFT(C325,LEN("Functioning At Risk"))="Functioning At Risk"</formula>
    </cfRule>
    <cfRule type="beginsWith" dxfId="934" priority="1007" stopIfTrue="1" operator="beginsWith" text="Not Functioning">
      <formula>LEFT(C325,LEN("Not Functioning"))="Not Functioning"</formula>
    </cfRule>
    <cfRule type="containsText" dxfId="933" priority="1008" operator="containsText" text="Functioning">
      <formula>NOT(ISERROR(SEARCH("Functioning",C325)))</formula>
    </cfRule>
  </conditionalFormatting>
  <conditionalFormatting sqref="C322:D323">
    <cfRule type="beginsWith" dxfId="932" priority="1003" stopIfTrue="1" operator="beginsWith" text="Functioning At Risk">
      <formula>LEFT(C322,LEN("Functioning At Risk"))="Functioning At Risk"</formula>
    </cfRule>
    <cfRule type="beginsWith" dxfId="931" priority="1004" stopIfTrue="1" operator="beginsWith" text="Not Functioning">
      <formula>LEFT(C322,LEN("Not Functioning"))="Not Functioning"</formula>
    </cfRule>
    <cfRule type="containsText" dxfId="930" priority="1005" operator="containsText" text="Functioning">
      <formula>NOT(ISERROR(SEARCH("Functioning",C322)))</formula>
    </cfRule>
  </conditionalFormatting>
  <conditionalFormatting sqref="F338:F339 F316 F311 F334 F318:F319">
    <cfRule type="beginsWith" dxfId="929" priority="994" stopIfTrue="1" operator="beginsWith" text="Functioning At Risk">
      <formula>LEFT(F311,LEN("Functioning At Risk"))="Functioning At Risk"</formula>
    </cfRule>
    <cfRule type="beginsWith" dxfId="928" priority="995" stopIfTrue="1" operator="beginsWith" text="Not Functioning">
      <formula>LEFT(F311,LEN("Not Functioning"))="Not Functioning"</formula>
    </cfRule>
    <cfRule type="containsText" dxfId="927" priority="996" operator="containsText" text="Functioning">
      <formula>NOT(ISERROR(SEARCH("Functioning",F311)))</formula>
    </cfRule>
  </conditionalFormatting>
  <conditionalFormatting sqref="F322:F323">
    <cfRule type="beginsWith" dxfId="926" priority="988" stopIfTrue="1" operator="beginsWith" text="Functioning At Risk">
      <formula>LEFT(F322,LEN("Functioning At Risk"))="Functioning At Risk"</formula>
    </cfRule>
    <cfRule type="beginsWith" dxfId="925" priority="989" stopIfTrue="1" operator="beginsWith" text="Not Functioning">
      <formula>LEFT(F322,LEN("Not Functioning"))="Not Functioning"</formula>
    </cfRule>
    <cfRule type="containsText" dxfId="924" priority="990" operator="containsText" text="Functioning">
      <formula>NOT(ISERROR(SEARCH("Functioning",F322)))</formula>
    </cfRule>
  </conditionalFormatting>
  <conditionalFormatting sqref="E338:E339 E311:E312 E332 E316:E317">
    <cfRule type="beginsWith" dxfId="923" priority="982" stopIfTrue="1" operator="beginsWith" text="Functioning At Risk">
      <formula>LEFT(E311,LEN("Functioning At Risk"))="Functioning At Risk"</formula>
    </cfRule>
    <cfRule type="beginsWith" dxfId="922" priority="983" stopIfTrue="1" operator="beginsWith" text="Not Functioning">
      <formula>LEFT(E311,LEN("Not Functioning"))="Not Functioning"</formula>
    </cfRule>
    <cfRule type="containsText" dxfId="921" priority="984" operator="containsText" text="Functioning">
      <formula>NOT(ISERROR(SEARCH("Functioning",E311)))</formula>
    </cfRule>
  </conditionalFormatting>
  <conditionalFormatting sqref="E334">
    <cfRule type="expression" dxfId="920" priority="980">
      <formula>B265="Level 5 - Biology"</formula>
    </cfRule>
    <cfRule type="expression" dxfId="919" priority="981">
      <formula>B265="Level 4 - Physicochemical"</formula>
    </cfRule>
  </conditionalFormatting>
  <conditionalFormatting sqref="E338:E339">
    <cfRule type="expression" dxfId="918" priority="979">
      <formula>B265="Level 5 - Biology"</formula>
    </cfRule>
  </conditionalFormatting>
  <conditionalFormatting sqref="E340">
    <cfRule type="beginsWith" dxfId="917" priority="976" stopIfTrue="1" operator="beginsWith" text="Functioning At Risk">
      <formula>LEFT(E340,LEN("Functioning At Risk"))="Functioning At Risk"</formula>
    </cfRule>
    <cfRule type="beginsWith" dxfId="916" priority="977" stopIfTrue="1" operator="beginsWith" text="Not Functioning">
      <formula>LEFT(E340,LEN("Not Functioning"))="Not Functioning"</formula>
    </cfRule>
    <cfRule type="containsText" dxfId="915" priority="978" operator="containsText" text="Functioning">
      <formula>NOT(ISERROR(SEARCH("Functioning",E340)))</formula>
    </cfRule>
  </conditionalFormatting>
  <conditionalFormatting sqref="E332">
    <cfRule type="expression" dxfId="914" priority="970">
      <formula>B265="Level 4 - Physicochemical"</formula>
    </cfRule>
    <cfRule type="expression" dxfId="913" priority="975">
      <formula>B265="Level 5 - Biology"</formula>
    </cfRule>
  </conditionalFormatting>
  <conditionalFormatting sqref="E335">
    <cfRule type="expression" dxfId="912" priority="969">
      <formula>B265="Level 4 - Physicochemical"</formula>
    </cfRule>
    <cfRule type="expression" dxfId="911" priority="974">
      <formula>B265="Level 5 - Biology"</formula>
    </cfRule>
  </conditionalFormatting>
  <conditionalFormatting sqref="E336">
    <cfRule type="expression" dxfId="910" priority="968">
      <formula>B265="Level 4 - Physicochemical"</formula>
    </cfRule>
    <cfRule type="expression" dxfId="909" priority="973">
      <formula>B265="Level 5 - Biology"</formula>
    </cfRule>
  </conditionalFormatting>
  <conditionalFormatting sqref="E337">
    <cfRule type="expression" dxfId="908" priority="967">
      <formula>B265="Level 4 - Physicochemical"</formula>
    </cfRule>
    <cfRule type="expression" dxfId="907" priority="972">
      <formula>B265="Level 5 - Biology"</formula>
    </cfRule>
  </conditionalFormatting>
  <conditionalFormatting sqref="E340">
    <cfRule type="expression" dxfId="906" priority="971">
      <formula>B265="Level 5 - Biology"</formula>
    </cfRule>
  </conditionalFormatting>
  <conditionalFormatting sqref="E315">
    <cfRule type="beginsWith" dxfId="905" priority="964" stopIfTrue="1" operator="beginsWith" text="Functioning At Risk">
      <formula>LEFT(E315,LEN("Functioning At Risk"))="Functioning At Risk"</formula>
    </cfRule>
    <cfRule type="beginsWith" dxfId="904" priority="965" stopIfTrue="1" operator="beginsWith" text="Not Functioning">
      <formula>LEFT(E315,LEN("Not Functioning"))="Not Functioning"</formula>
    </cfRule>
    <cfRule type="containsText" dxfId="903" priority="966" operator="containsText" text="Functioning">
      <formula>NOT(ISERROR(SEARCH("Functioning",E315)))</formula>
    </cfRule>
  </conditionalFormatting>
  <conditionalFormatting sqref="E333">
    <cfRule type="expression" dxfId="902" priority="959">
      <formula>B265="Level 5 - Biology"</formula>
    </cfRule>
    <cfRule type="expression" dxfId="901" priority="960">
      <formula>B265="Level 4 - Physicochemical"</formula>
    </cfRule>
    <cfRule type="beginsWith" dxfId="900" priority="961" stopIfTrue="1" operator="beginsWith" text="Functioning At Risk">
      <formula>LEFT(E333,LEN("Functioning At Risk"))="Functioning At Risk"</formula>
    </cfRule>
    <cfRule type="beginsWith" dxfId="899" priority="962" stopIfTrue="1" operator="beginsWith" text="Not Functioning">
      <formula>LEFT(E333,LEN("Not Functioning"))="Not Functioning"</formula>
    </cfRule>
    <cfRule type="containsText" dxfId="898" priority="963" operator="containsText" text="Functioning">
      <formula>NOT(ISERROR(SEARCH("Functioning",E333)))</formula>
    </cfRule>
  </conditionalFormatting>
  <conditionalFormatting sqref="E372">
    <cfRule type="beginsWith" dxfId="897" priority="881" stopIfTrue="1" operator="beginsWith" text="Functioning At Risk">
      <formula>LEFT(E372,LEN("Functioning At Risk"))="Functioning At Risk"</formula>
    </cfRule>
    <cfRule type="beginsWith" dxfId="896" priority="882" stopIfTrue="1" operator="beginsWith" text="Not Functioning">
      <formula>LEFT(E372,LEN("Not Functioning"))="Not Functioning"</formula>
    </cfRule>
    <cfRule type="containsText" dxfId="895" priority="883" operator="containsText" text="Functioning">
      <formula>NOT(ISERROR(SEARCH("Functioning",E372)))</formula>
    </cfRule>
  </conditionalFormatting>
  <conditionalFormatting sqref="I349 I370 I351:I352 A344:C344 G343 I376:I377 C354:D354 I345:I347 E344:K344 C376:D377 C349:D350 B372:D372 B371 B356:D358 D369:D370">
    <cfRule type="beginsWith" dxfId="894" priority="953" stopIfTrue="1" operator="beginsWith" text="Functioning At Risk">
      <formula>LEFT(A343,LEN("Functioning At Risk"))="Functioning At Risk"</formula>
    </cfRule>
    <cfRule type="beginsWith" dxfId="893" priority="954" stopIfTrue="1" operator="beginsWith" text="Not Functioning">
      <formula>LEFT(A343,LEN("Not Functioning"))="Not Functioning"</formula>
    </cfRule>
    <cfRule type="containsText" dxfId="892" priority="955" operator="containsText" text="Functioning">
      <formula>NOT(ISERROR(SEARCH("Functioning",A343)))</formula>
    </cfRule>
  </conditionalFormatting>
  <conditionalFormatting sqref="D362">
    <cfRule type="beginsWith" dxfId="891" priority="950" stopIfTrue="1" operator="beginsWith" text="Functioning At Risk">
      <formula>LEFT(D362,LEN("Functioning At Risk"))="Functioning At Risk"</formula>
    </cfRule>
    <cfRule type="beginsWith" dxfId="890" priority="951" stopIfTrue="1" operator="beginsWith" text="Not Functioning">
      <formula>LEFT(D362,LEN("Not Functioning"))="Not Functioning"</formula>
    </cfRule>
    <cfRule type="containsText" dxfId="889" priority="952" operator="containsText" text="Functioning">
      <formula>NOT(ISERROR(SEARCH("Functioning",D362)))</formula>
    </cfRule>
  </conditionalFormatting>
  <conditionalFormatting sqref="C378:D378">
    <cfRule type="beginsWith" dxfId="888" priority="947" stopIfTrue="1" operator="beginsWith" text="Functioning At Risk">
      <formula>LEFT(C378,LEN("Functioning At Risk"))="Functioning At Risk"</formula>
    </cfRule>
    <cfRule type="beginsWith" dxfId="887" priority="948" stopIfTrue="1" operator="beginsWith" text="Not Functioning">
      <formula>LEFT(C378,LEN("Not Functioning"))="Not Functioning"</formula>
    </cfRule>
    <cfRule type="containsText" dxfId="886" priority="949" operator="containsText" text="Functioning">
      <formula>NOT(ISERROR(SEARCH("Functioning",C378)))</formula>
    </cfRule>
  </conditionalFormatting>
  <conditionalFormatting sqref="C355:D355">
    <cfRule type="beginsWith" dxfId="885" priority="944" stopIfTrue="1" operator="beginsWith" text="Functioning At Risk">
      <formula>LEFT(C355,LEN("Functioning At Risk"))="Functioning At Risk"</formula>
    </cfRule>
    <cfRule type="beginsWith" dxfId="884" priority="945" stopIfTrue="1" operator="beginsWith" text="Not Functioning">
      <formula>LEFT(C355,LEN("Not Functioning"))="Not Functioning"</formula>
    </cfRule>
    <cfRule type="containsText" dxfId="883" priority="946" operator="containsText" text="Functioning">
      <formula>NOT(ISERROR(SEARCH("Functioning",C355)))</formula>
    </cfRule>
  </conditionalFormatting>
  <conditionalFormatting sqref="C373:D373">
    <cfRule type="beginsWith" dxfId="882" priority="941" stopIfTrue="1" operator="beginsWith" text="Functioning At Risk">
      <formula>LEFT(C373,LEN("Functioning At Risk"))="Functioning At Risk"</formula>
    </cfRule>
    <cfRule type="beginsWith" dxfId="881" priority="942" stopIfTrue="1" operator="beginsWith" text="Not Functioning">
      <formula>LEFT(C373,LEN("Not Functioning"))="Not Functioning"</formula>
    </cfRule>
    <cfRule type="containsText" dxfId="880" priority="943" operator="containsText" text="Functioning">
      <formula>NOT(ISERROR(SEARCH("Functioning",C373)))</formula>
    </cfRule>
  </conditionalFormatting>
  <conditionalFormatting sqref="C359:D359">
    <cfRule type="beginsWith" dxfId="879" priority="938" stopIfTrue="1" operator="beginsWith" text="Functioning At Risk">
      <formula>LEFT(C359,LEN("Functioning At Risk"))="Functioning At Risk"</formula>
    </cfRule>
    <cfRule type="beginsWith" dxfId="878" priority="939" stopIfTrue="1" operator="beginsWith" text="Not Functioning">
      <formula>LEFT(C359,LEN("Not Functioning"))="Not Functioning"</formula>
    </cfRule>
    <cfRule type="containsText" dxfId="877" priority="940" operator="containsText" text="Functioning">
      <formula>NOT(ISERROR(SEARCH("Functioning",C359)))</formula>
    </cfRule>
  </conditionalFormatting>
  <conditionalFormatting sqref="D363">
    <cfRule type="beginsWith" dxfId="876" priority="935" stopIfTrue="1" operator="beginsWith" text="Functioning At Risk">
      <formula>LEFT(D363,LEN("Functioning At Risk"))="Functioning At Risk"</formula>
    </cfRule>
    <cfRule type="beginsWith" dxfId="875" priority="936" stopIfTrue="1" operator="beginsWith" text="Not Functioning">
      <formula>LEFT(D363,LEN("Not Functioning"))="Not Functioning"</formula>
    </cfRule>
    <cfRule type="containsText" dxfId="874" priority="937" operator="containsText" text="Functioning">
      <formula>NOT(ISERROR(SEARCH("Functioning",D363)))</formula>
    </cfRule>
  </conditionalFormatting>
  <conditionalFormatting sqref="C353:D353">
    <cfRule type="beginsWith" dxfId="873" priority="932" stopIfTrue="1" operator="beginsWith" text="Functioning At Risk">
      <formula>LEFT(C353,LEN("Functioning At Risk"))="Functioning At Risk"</formula>
    </cfRule>
    <cfRule type="beginsWith" dxfId="872" priority="933" stopIfTrue="1" operator="beginsWith" text="Not Functioning">
      <formula>LEFT(C353,LEN("Not Functioning"))="Not Functioning"</formula>
    </cfRule>
    <cfRule type="containsText" dxfId="871" priority="934" operator="containsText" text="Functioning">
      <formula>NOT(ISERROR(SEARCH("Functioning",C353)))</formula>
    </cfRule>
  </conditionalFormatting>
  <conditionalFormatting sqref="B374:B375 A349:B349 A376:B376 A351:A352 B378 A377">
    <cfRule type="beginsWith" dxfId="870" priority="929" stopIfTrue="1" operator="beginsWith" text="Functioning At Risk">
      <formula>LEFT(A349,LEN("Functioning At Risk"))="Functioning At Risk"</formula>
    </cfRule>
    <cfRule type="beginsWith" dxfId="869" priority="930" stopIfTrue="1" operator="beginsWith" text="Not Functioning">
      <formula>LEFT(A349,LEN("Not Functioning"))="Not Functioning"</formula>
    </cfRule>
    <cfRule type="containsText" dxfId="868" priority="931" operator="containsText" text="Functioning">
      <formula>NOT(ISERROR(SEARCH("Functioning",A349)))</formula>
    </cfRule>
  </conditionalFormatting>
  <conditionalFormatting sqref="B353">
    <cfRule type="beginsWith" dxfId="867" priority="926" stopIfTrue="1" operator="beginsWith" text="Functioning At Risk">
      <formula>LEFT(B353,LEN("Functioning At Risk"))="Functioning At Risk"</formula>
    </cfRule>
    <cfRule type="beginsWith" dxfId="866" priority="927" stopIfTrue="1" operator="beginsWith" text="Not Functioning">
      <formula>LEFT(B353,LEN("Not Functioning"))="Not Functioning"</formula>
    </cfRule>
    <cfRule type="containsText" dxfId="865" priority="928" operator="containsText" text="Functioning">
      <formula>NOT(ISERROR(SEARCH("Functioning",B353)))</formula>
    </cfRule>
  </conditionalFormatting>
  <conditionalFormatting sqref="B370">
    <cfRule type="beginsWith" dxfId="864" priority="923" stopIfTrue="1" operator="beginsWith" text="Functioning At Risk">
      <formula>LEFT(B370,LEN("Functioning At Risk"))="Functioning At Risk"</formula>
    </cfRule>
    <cfRule type="beginsWith" dxfId="863" priority="924" stopIfTrue="1" operator="beginsWith" text="Not Functioning">
      <formula>LEFT(B370,LEN("Not Functioning"))="Not Functioning"</formula>
    </cfRule>
    <cfRule type="containsText" dxfId="862" priority="925" operator="containsText" text="Functioning">
      <formula>NOT(ISERROR(SEARCH("Functioning",B370)))</formula>
    </cfRule>
  </conditionalFormatting>
  <conditionalFormatting sqref="A370">
    <cfRule type="beginsWith" dxfId="861" priority="920" stopIfTrue="1" operator="beginsWith" text="Functioning At Risk">
      <formula>LEFT(A370,LEN("Functioning At Risk"))="Functioning At Risk"</formula>
    </cfRule>
    <cfRule type="beginsWith" dxfId="860" priority="921" stopIfTrue="1" operator="beginsWith" text="Not Functioning">
      <formula>LEFT(A370,LEN("Not Functioning"))="Not Functioning"</formula>
    </cfRule>
    <cfRule type="containsText" dxfId="859" priority="922" operator="containsText" text="Functioning">
      <formula>NOT(ISERROR(SEARCH("Functioning",A370)))</formula>
    </cfRule>
  </conditionalFormatting>
  <conditionalFormatting sqref="K345:K347">
    <cfRule type="beginsWith" dxfId="858" priority="914" stopIfTrue="1" operator="beginsWith" text="Functioning At Risk">
      <formula>LEFT(K345,LEN("Functioning At Risk"))="Functioning At Risk"</formula>
    </cfRule>
    <cfRule type="beginsWith" dxfId="857" priority="915" stopIfTrue="1" operator="beginsWith" text="Not Functioning">
      <formula>LEFT(K345,LEN("Not Functioning"))="Not Functioning"</formula>
    </cfRule>
    <cfRule type="containsText" dxfId="856" priority="916" operator="containsText" text="Functioning">
      <formula>NOT(ISERROR(SEARCH("Functioning",K345)))</formula>
    </cfRule>
  </conditionalFormatting>
  <conditionalFormatting sqref="D364">
    <cfRule type="beginsWith" dxfId="855" priority="911" stopIfTrue="1" operator="beginsWith" text="Functioning At Risk">
      <formula>LEFT(D364,LEN("Functioning At Risk"))="Functioning At Risk"</formula>
    </cfRule>
    <cfRule type="beginsWith" dxfId="854" priority="912" stopIfTrue="1" operator="beginsWith" text="Not Functioning">
      <formula>LEFT(D364,LEN("Not Functioning"))="Not Functioning"</formula>
    </cfRule>
    <cfRule type="containsText" dxfId="853" priority="913" operator="containsText" text="Functioning">
      <formula>NOT(ISERROR(SEARCH("Functioning",D364)))</formula>
    </cfRule>
  </conditionalFormatting>
  <conditionalFormatting sqref="D374">
    <cfRule type="beginsWith" dxfId="852" priority="908" stopIfTrue="1" operator="beginsWith" text="Functioning At Risk">
      <formula>LEFT(D374,LEN("Functioning At Risk"))="Functioning At Risk"</formula>
    </cfRule>
    <cfRule type="beginsWith" dxfId="851" priority="909" stopIfTrue="1" operator="beginsWith" text="Not Functioning">
      <formula>LEFT(D374,LEN("Not Functioning"))="Not Functioning"</formula>
    </cfRule>
    <cfRule type="containsText" dxfId="850" priority="910" operator="containsText" text="Functioning">
      <formula>NOT(ISERROR(SEARCH("Functioning",D374)))</formula>
    </cfRule>
  </conditionalFormatting>
  <conditionalFormatting sqref="C364">
    <cfRule type="beginsWith" dxfId="849" priority="896" stopIfTrue="1" operator="beginsWith" text="Functioning At Risk">
      <formula>LEFT(C364,LEN("Functioning At Risk"))="Functioning At Risk"</formula>
    </cfRule>
    <cfRule type="beginsWith" dxfId="848" priority="897" stopIfTrue="1" operator="beginsWith" text="Not Functioning">
      <formula>LEFT(C364,LEN("Not Functioning"))="Not Functioning"</formula>
    </cfRule>
    <cfRule type="containsText" dxfId="847" priority="898" operator="containsText" text="Functioning">
      <formula>NOT(ISERROR(SEARCH("Functioning",C364)))</formula>
    </cfRule>
  </conditionalFormatting>
  <conditionalFormatting sqref="C362">
    <cfRule type="beginsWith" dxfId="846" priority="905" stopIfTrue="1" operator="beginsWith" text="Functioning At Risk">
      <formula>LEFT(C362,LEN("Functioning At Risk"))="Functioning At Risk"</formula>
    </cfRule>
    <cfRule type="beginsWith" dxfId="845" priority="906" stopIfTrue="1" operator="beginsWith" text="Not Functioning">
      <formula>LEFT(C362,LEN("Not Functioning"))="Not Functioning"</formula>
    </cfRule>
    <cfRule type="containsText" dxfId="844" priority="907" operator="containsText" text="Functioning">
      <formula>NOT(ISERROR(SEARCH("Functioning",C362)))</formula>
    </cfRule>
  </conditionalFormatting>
  <conditionalFormatting sqref="C363">
    <cfRule type="beginsWith" dxfId="843" priority="902" stopIfTrue="1" operator="beginsWith" text="Functioning At Risk">
      <formula>LEFT(C363,LEN("Functioning At Risk"))="Functioning At Risk"</formula>
    </cfRule>
    <cfRule type="beginsWith" dxfId="842" priority="903" stopIfTrue="1" operator="beginsWith" text="Not Functioning">
      <formula>LEFT(C363,LEN("Not Functioning"))="Not Functioning"</formula>
    </cfRule>
    <cfRule type="containsText" dxfId="841" priority="904" operator="containsText" text="Functioning">
      <formula>NOT(ISERROR(SEARCH("Functioning",C363)))</formula>
    </cfRule>
  </conditionalFormatting>
  <conditionalFormatting sqref="C360:D361">
    <cfRule type="beginsWith" dxfId="840" priority="899" stopIfTrue="1" operator="beginsWith" text="Functioning At Risk">
      <formula>LEFT(C360,LEN("Functioning At Risk"))="Functioning At Risk"</formula>
    </cfRule>
    <cfRule type="beginsWith" dxfId="839" priority="900" stopIfTrue="1" operator="beginsWith" text="Not Functioning">
      <formula>LEFT(C360,LEN("Not Functioning"))="Not Functioning"</formula>
    </cfRule>
    <cfRule type="containsText" dxfId="838" priority="901" operator="containsText" text="Functioning">
      <formula>NOT(ISERROR(SEARCH("Functioning",C360)))</formula>
    </cfRule>
  </conditionalFormatting>
  <conditionalFormatting sqref="F376:F377 F354 F349 F372 F356:F357">
    <cfRule type="beginsWith" dxfId="837" priority="890" stopIfTrue="1" operator="beginsWith" text="Functioning At Risk">
      <formula>LEFT(F349,LEN("Functioning At Risk"))="Functioning At Risk"</formula>
    </cfRule>
    <cfRule type="beginsWith" dxfId="836" priority="891" stopIfTrue="1" operator="beginsWith" text="Not Functioning">
      <formula>LEFT(F349,LEN("Not Functioning"))="Not Functioning"</formula>
    </cfRule>
    <cfRule type="containsText" dxfId="835" priority="892" operator="containsText" text="Functioning">
      <formula>NOT(ISERROR(SEARCH("Functioning",F349)))</formula>
    </cfRule>
  </conditionalFormatting>
  <conditionalFormatting sqref="F360:F361">
    <cfRule type="beginsWith" dxfId="834" priority="884" stopIfTrue="1" operator="beginsWith" text="Functioning At Risk">
      <formula>LEFT(F360,LEN("Functioning At Risk"))="Functioning At Risk"</formula>
    </cfRule>
    <cfRule type="beginsWith" dxfId="833" priority="885" stopIfTrue="1" operator="beginsWith" text="Not Functioning">
      <formula>LEFT(F360,LEN("Not Functioning"))="Not Functioning"</formula>
    </cfRule>
    <cfRule type="containsText" dxfId="832" priority="886" operator="containsText" text="Functioning">
      <formula>NOT(ISERROR(SEARCH("Functioning",F360)))</formula>
    </cfRule>
  </conditionalFormatting>
  <conditionalFormatting sqref="E376:E377 E349:E350 E370 E354:E355">
    <cfRule type="beginsWith" dxfId="831" priority="878" stopIfTrue="1" operator="beginsWith" text="Functioning At Risk">
      <formula>LEFT(E349,LEN("Functioning At Risk"))="Functioning At Risk"</formula>
    </cfRule>
    <cfRule type="beginsWith" dxfId="830" priority="879" stopIfTrue="1" operator="beginsWith" text="Not Functioning">
      <formula>LEFT(E349,LEN("Not Functioning"))="Not Functioning"</formula>
    </cfRule>
    <cfRule type="containsText" dxfId="829" priority="880" operator="containsText" text="Functioning">
      <formula>NOT(ISERROR(SEARCH("Functioning",E349)))</formula>
    </cfRule>
  </conditionalFormatting>
  <conditionalFormatting sqref="E372">
    <cfRule type="expression" dxfId="828" priority="876">
      <formula>B303="Level 5 - Biology"</formula>
    </cfRule>
    <cfRule type="expression" dxfId="827" priority="877">
      <formula>B303="Level 4 - Physicochemical"</formula>
    </cfRule>
  </conditionalFormatting>
  <conditionalFormatting sqref="E376:E377">
    <cfRule type="expression" dxfId="826" priority="875">
      <formula>B303="Level 5 - Biology"</formula>
    </cfRule>
  </conditionalFormatting>
  <conditionalFormatting sqref="E378">
    <cfRule type="beginsWith" dxfId="825" priority="872" stopIfTrue="1" operator="beginsWith" text="Functioning At Risk">
      <formula>LEFT(E378,LEN("Functioning At Risk"))="Functioning At Risk"</formula>
    </cfRule>
    <cfRule type="beginsWith" dxfId="824" priority="873" stopIfTrue="1" operator="beginsWith" text="Not Functioning">
      <formula>LEFT(E378,LEN("Not Functioning"))="Not Functioning"</formula>
    </cfRule>
    <cfRule type="containsText" dxfId="823" priority="874" operator="containsText" text="Functioning">
      <formula>NOT(ISERROR(SEARCH("Functioning",E378)))</formula>
    </cfRule>
  </conditionalFormatting>
  <conditionalFormatting sqref="E370">
    <cfRule type="expression" dxfId="822" priority="866">
      <formula>B303="Level 4 - Physicochemical"</formula>
    </cfRule>
    <cfRule type="expression" dxfId="821" priority="871">
      <formula>B303="Level 5 - Biology"</formula>
    </cfRule>
  </conditionalFormatting>
  <conditionalFormatting sqref="E373">
    <cfRule type="expression" dxfId="820" priority="865">
      <formula>B303="Level 4 - Physicochemical"</formula>
    </cfRule>
    <cfRule type="expression" dxfId="819" priority="870">
      <formula>B303="Level 5 - Biology"</formula>
    </cfRule>
  </conditionalFormatting>
  <conditionalFormatting sqref="E374">
    <cfRule type="expression" dxfId="818" priority="864">
      <formula>B303="Level 4 - Physicochemical"</formula>
    </cfRule>
    <cfRule type="expression" dxfId="817" priority="869">
      <formula>B303="Level 5 - Biology"</formula>
    </cfRule>
  </conditionalFormatting>
  <conditionalFormatting sqref="E375">
    <cfRule type="expression" dxfId="816" priority="863">
      <formula>B303="Level 4 - Physicochemical"</formula>
    </cfRule>
    <cfRule type="expression" dxfId="815" priority="868">
      <formula>B303="Level 5 - Biology"</formula>
    </cfRule>
  </conditionalFormatting>
  <conditionalFormatting sqref="E378">
    <cfRule type="expression" dxfId="814" priority="867">
      <formula>B303="Level 5 - Biology"</formula>
    </cfRule>
  </conditionalFormatting>
  <conditionalFormatting sqref="E353">
    <cfRule type="beginsWith" dxfId="813" priority="860" stopIfTrue="1" operator="beginsWith" text="Functioning At Risk">
      <formula>LEFT(E353,LEN("Functioning At Risk"))="Functioning At Risk"</formula>
    </cfRule>
    <cfRule type="beginsWith" dxfId="812" priority="861" stopIfTrue="1" operator="beginsWith" text="Not Functioning">
      <formula>LEFT(E353,LEN("Not Functioning"))="Not Functioning"</formula>
    </cfRule>
    <cfRule type="containsText" dxfId="811" priority="862" operator="containsText" text="Functioning">
      <formula>NOT(ISERROR(SEARCH("Functioning",E353)))</formula>
    </cfRule>
  </conditionalFormatting>
  <conditionalFormatting sqref="E371">
    <cfRule type="expression" dxfId="810" priority="855">
      <formula>B303="Level 5 - Biology"</formula>
    </cfRule>
    <cfRule type="expression" dxfId="809" priority="856">
      <formula>B303="Level 4 - Physicochemical"</formula>
    </cfRule>
    <cfRule type="beginsWith" dxfId="808" priority="857" stopIfTrue="1" operator="beginsWith" text="Functioning At Risk">
      <formula>LEFT(E371,LEN("Functioning At Risk"))="Functioning At Risk"</formula>
    </cfRule>
    <cfRule type="beginsWith" dxfId="807" priority="858" stopIfTrue="1" operator="beginsWith" text="Not Functioning">
      <formula>LEFT(E371,LEN("Not Functioning"))="Not Functioning"</formula>
    </cfRule>
    <cfRule type="containsText" dxfId="806" priority="859" operator="containsText" text="Functioning">
      <formula>NOT(ISERROR(SEARCH("Functioning",E371)))</formula>
    </cfRule>
  </conditionalFormatting>
  <conditionalFormatting sqref="L402:L409 L392:L398 M404:M416 M381:M386 L379:L380">
    <cfRule type="beginsWith" dxfId="805" priority="849" stopIfTrue="1" operator="beginsWith" text="Functioning At Risk">
      <formula>LEFT(L379,LEN("Functioning At Risk"))="Functioning At Risk"</formula>
    </cfRule>
    <cfRule type="beginsWith" dxfId="804" priority="850" stopIfTrue="1" operator="beginsWith" text="Not Functioning">
      <formula>LEFT(L379,LEN("Not Functioning"))="Not Functioning"</formula>
    </cfRule>
    <cfRule type="containsText" dxfId="803" priority="851" operator="containsText" text="Functioning">
      <formula>NOT(ISERROR(SEARCH("Functioning",L379)))</formula>
    </cfRule>
  </conditionalFormatting>
  <conditionalFormatting sqref="E410">
    <cfRule type="beginsWith" dxfId="802" priority="774" stopIfTrue="1" operator="beginsWith" text="Functioning At Risk">
      <formula>LEFT(E410,LEN("Functioning At Risk"))="Functioning At Risk"</formula>
    </cfRule>
    <cfRule type="beginsWith" dxfId="801" priority="775" stopIfTrue="1" operator="beginsWith" text="Not Functioning">
      <formula>LEFT(E410,LEN("Not Functioning"))="Not Functioning"</formula>
    </cfRule>
    <cfRule type="containsText" dxfId="800" priority="776" operator="containsText" text="Functioning">
      <formula>NOT(ISERROR(SEARCH("Functioning",E410)))</formula>
    </cfRule>
  </conditionalFormatting>
  <conditionalFormatting sqref="I387 I408 I389:I390 A382:C382 G381 I414:I415 C392:D392 I383:I385 E382:K382 C407:D407 C414:D415 C387:D388 B410:D410 B409 B394:D396 D403:D406 D408">
    <cfRule type="beginsWith" dxfId="799" priority="846" stopIfTrue="1" operator="beginsWith" text="Functioning At Risk">
      <formula>LEFT(A381,LEN("Functioning At Risk"))="Functioning At Risk"</formula>
    </cfRule>
    <cfRule type="beginsWith" dxfId="798" priority="847" stopIfTrue="1" operator="beginsWith" text="Not Functioning">
      <formula>LEFT(A381,LEN("Not Functioning"))="Not Functioning"</formula>
    </cfRule>
    <cfRule type="containsText" dxfId="797" priority="848" operator="containsText" text="Functioning">
      <formula>NOT(ISERROR(SEARCH("Functioning",A381)))</formula>
    </cfRule>
  </conditionalFormatting>
  <conditionalFormatting sqref="D400">
    <cfRule type="beginsWith" dxfId="796" priority="843" stopIfTrue="1" operator="beginsWith" text="Functioning At Risk">
      <formula>LEFT(D400,LEN("Functioning At Risk"))="Functioning At Risk"</formula>
    </cfRule>
    <cfRule type="beginsWith" dxfId="795" priority="844" stopIfTrue="1" operator="beginsWith" text="Not Functioning">
      <formula>LEFT(D400,LEN("Not Functioning"))="Not Functioning"</formula>
    </cfRule>
    <cfRule type="containsText" dxfId="794" priority="845" operator="containsText" text="Functioning">
      <formula>NOT(ISERROR(SEARCH("Functioning",D400)))</formula>
    </cfRule>
  </conditionalFormatting>
  <conditionalFormatting sqref="C416:D416">
    <cfRule type="beginsWith" dxfId="793" priority="840" stopIfTrue="1" operator="beginsWith" text="Functioning At Risk">
      <formula>LEFT(C416,LEN("Functioning At Risk"))="Functioning At Risk"</formula>
    </cfRule>
    <cfRule type="beginsWith" dxfId="792" priority="841" stopIfTrue="1" operator="beginsWith" text="Not Functioning">
      <formula>LEFT(C416,LEN("Not Functioning"))="Not Functioning"</formula>
    </cfRule>
    <cfRule type="containsText" dxfId="791" priority="842" operator="containsText" text="Functioning">
      <formula>NOT(ISERROR(SEARCH("Functioning",C416)))</formula>
    </cfRule>
  </conditionalFormatting>
  <conditionalFormatting sqref="C393:D393">
    <cfRule type="beginsWith" dxfId="790" priority="837" stopIfTrue="1" operator="beginsWith" text="Functioning At Risk">
      <formula>LEFT(C393,LEN("Functioning At Risk"))="Functioning At Risk"</formula>
    </cfRule>
    <cfRule type="beginsWith" dxfId="789" priority="838" stopIfTrue="1" operator="beginsWith" text="Not Functioning">
      <formula>LEFT(C393,LEN("Not Functioning"))="Not Functioning"</formula>
    </cfRule>
    <cfRule type="containsText" dxfId="788" priority="839" operator="containsText" text="Functioning">
      <formula>NOT(ISERROR(SEARCH("Functioning",C393)))</formula>
    </cfRule>
  </conditionalFormatting>
  <conditionalFormatting sqref="C411:D411">
    <cfRule type="beginsWith" dxfId="787" priority="834" stopIfTrue="1" operator="beginsWith" text="Functioning At Risk">
      <formula>LEFT(C411,LEN("Functioning At Risk"))="Functioning At Risk"</formula>
    </cfRule>
    <cfRule type="beginsWith" dxfId="786" priority="835" stopIfTrue="1" operator="beginsWith" text="Not Functioning">
      <formula>LEFT(C411,LEN("Not Functioning"))="Not Functioning"</formula>
    </cfRule>
    <cfRule type="containsText" dxfId="785" priority="836" operator="containsText" text="Functioning">
      <formula>NOT(ISERROR(SEARCH("Functioning",C411)))</formula>
    </cfRule>
  </conditionalFormatting>
  <conditionalFormatting sqref="C397:D397">
    <cfRule type="beginsWith" dxfId="784" priority="831" stopIfTrue="1" operator="beginsWith" text="Functioning At Risk">
      <formula>LEFT(C397,LEN("Functioning At Risk"))="Functioning At Risk"</formula>
    </cfRule>
    <cfRule type="beginsWith" dxfId="783" priority="832" stopIfTrue="1" operator="beginsWith" text="Not Functioning">
      <formula>LEFT(C397,LEN("Not Functioning"))="Not Functioning"</formula>
    </cfRule>
    <cfRule type="containsText" dxfId="782" priority="833" operator="containsText" text="Functioning">
      <formula>NOT(ISERROR(SEARCH("Functioning",C397)))</formula>
    </cfRule>
  </conditionalFormatting>
  <conditionalFormatting sqref="D401">
    <cfRule type="beginsWith" dxfId="781" priority="828" stopIfTrue="1" operator="beginsWith" text="Functioning At Risk">
      <formula>LEFT(D401,LEN("Functioning At Risk"))="Functioning At Risk"</formula>
    </cfRule>
    <cfRule type="beginsWith" dxfId="780" priority="829" stopIfTrue="1" operator="beginsWith" text="Not Functioning">
      <formula>LEFT(D401,LEN("Not Functioning"))="Not Functioning"</formula>
    </cfRule>
    <cfRule type="containsText" dxfId="779" priority="830" operator="containsText" text="Functioning">
      <formula>NOT(ISERROR(SEARCH("Functioning",D401)))</formula>
    </cfRule>
  </conditionalFormatting>
  <conditionalFormatting sqref="C391:D391">
    <cfRule type="beginsWith" dxfId="778" priority="825" stopIfTrue="1" operator="beginsWith" text="Functioning At Risk">
      <formula>LEFT(C391,LEN("Functioning At Risk"))="Functioning At Risk"</formula>
    </cfRule>
    <cfRule type="beginsWith" dxfId="777" priority="826" stopIfTrue="1" operator="beginsWith" text="Not Functioning">
      <formula>LEFT(C391,LEN("Not Functioning"))="Not Functioning"</formula>
    </cfRule>
    <cfRule type="containsText" dxfId="776" priority="827" operator="containsText" text="Functioning">
      <formula>NOT(ISERROR(SEARCH("Functioning",C391)))</formula>
    </cfRule>
  </conditionalFormatting>
  <conditionalFormatting sqref="B412:B413 A387:B387 A414:B414 A389:A390 B416 B407 A415">
    <cfRule type="beginsWith" dxfId="775" priority="822" stopIfTrue="1" operator="beginsWith" text="Functioning At Risk">
      <formula>LEFT(A387,LEN("Functioning At Risk"))="Functioning At Risk"</formula>
    </cfRule>
    <cfRule type="beginsWith" dxfId="774" priority="823" stopIfTrue="1" operator="beginsWith" text="Not Functioning">
      <formula>LEFT(A387,LEN("Not Functioning"))="Not Functioning"</formula>
    </cfRule>
    <cfRule type="containsText" dxfId="773" priority="824" operator="containsText" text="Functioning">
      <formula>NOT(ISERROR(SEARCH("Functioning",A387)))</formula>
    </cfRule>
  </conditionalFormatting>
  <conditionalFormatting sqref="B391">
    <cfRule type="beginsWith" dxfId="772" priority="819" stopIfTrue="1" operator="beginsWith" text="Functioning At Risk">
      <formula>LEFT(B391,LEN("Functioning At Risk"))="Functioning At Risk"</formula>
    </cfRule>
    <cfRule type="beginsWith" dxfId="771" priority="820" stopIfTrue="1" operator="beginsWith" text="Not Functioning">
      <formula>LEFT(B391,LEN("Not Functioning"))="Not Functioning"</formula>
    </cfRule>
    <cfRule type="containsText" dxfId="770" priority="821" operator="containsText" text="Functioning">
      <formula>NOT(ISERROR(SEARCH("Functioning",B391)))</formula>
    </cfRule>
  </conditionalFormatting>
  <conditionalFormatting sqref="B408">
    <cfRule type="beginsWith" dxfId="769" priority="816" stopIfTrue="1" operator="beginsWith" text="Functioning At Risk">
      <formula>LEFT(B408,LEN("Functioning At Risk"))="Functioning At Risk"</formula>
    </cfRule>
    <cfRule type="beginsWith" dxfId="768" priority="817" stopIfTrue="1" operator="beginsWith" text="Not Functioning">
      <formula>LEFT(B408,LEN("Not Functioning"))="Not Functioning"</formula>
    </cfRule>
    <cfRule type="containsText" dxfId="767" priority="818" operator="containsText" text="Functioning">
      <formula>NOT(ISERROR(SEARCH("Functioning",B408)))</formula>
    </cfRule>
  </conditionalFormatting>
  <conditionalFormatting sqref="A408">
    <cfRule type="beginsWith" dxfId="766" priority="813" stopIfTrue="1" operator="beginsWith" text="Functioning At Risk">
      <formula>LEFT(A408,LEN("Functioning At Risk"))="Functioning At Risk"</formula>
    </cfRule>
    <cfRule type="beginsWith" dxfId="765" priority="814" stopIfTrue="1" operator="beginsWith" text="Not Functioning">
      <formula>LEFT(A408,LEN("Not Functioning"))="Not Functioning"</formula>
    </cfRule>
    <cfRule type="containsText" dxfId="764" priority="815" operator="containsText" text="Functioning">
      <formula>NOT(ISERROR(SEARCH("Functioning",A408)))</formula>
    </cfRule>
  </conditionalFormatting>
  <conditionalFormatting sqref="K383:K385">
    <cfRule type="beginsWith" dxfId="763" priority="807" stopIfTrue="1" operator="beginsWith" text="Functioning At Risk">
      <formula>LEFT(K383,LEN("Functioning At Risk"))="Functioning At Risk"</formula>
    </cfRule>
    <cfRule type="beginsWith" dxfId="762" priority="808" stopIfTrue="1" operator="beginsWith" text="Not Functioning">
      <formula>LEFT(K383,LEN("Not Functioning"))="Not Functioning"</formula>
    </cfRule>
    <cfRule type="containsText" dxfId="761" priority="809" operator="containsText" text="Functioning">
      <formula>NOT(ISERROR(SEARCH("Functioning",K383)))</formula>
    </cfRule>
  </conditionalFormatting>
  <conditionalFormatting sqref="D402">
    <cfRule type="beginsWith" dxfId="760" priority="804" stopIfTrue="1" operator="beginsWith" text="Functioning At Risk">
      <formula>LEFT(D402,LEN("Functioning At Risk"))="Functioning At Risk"</formula>
    </cfRule>
    <cfRule type="beginsWith" dxfId="759" priority="805" stopIfTrue="1" operator="beginsWith" text="Not Functioning">
      <formula>LEFT(D402,LEN("Not Functioning"))="Not Functioning"</formula>
    </cfRule>
    <cfRule type="containsText" dxfId="758" priority="806" operator="containsText" text="Functioning">
      <formula>NOT(ISERROR(SEARCH("Functioning",D402)))</formula>
    </cfRule>
  </conditionalFormatting>
  <conditionalFormatting sqref="D412">
    <cfRule type="beginsWith" dxfId="757" priority="801" stopIfTrue="1" operator="beginsWith" text="Functioning At Risk">
      <formula>LEFT(D412,LEN("Functioning At Risk"))="Functioning At Risk"</formula>
    </cfRule>
    <cfRule type="beginsWith" dxfId="756" priority="802" stopIfTrue="1" operator="beginsWith" text="Not Functioning">
      <formula>LEFT(D412,LEN("Not Functioning"))="Not Functioning"</formula>
    </cfRule>
    <cfRule type="containsText" dxfId="755" priority="803" operator="containsText" text="Functioning">
      <formula>NOT(ISERROR(SEARCH("Functioning",D412)))</formula>
    </cfRule>
  </conditionalFormatting>
  <conditionalFormatting sqref="C402">
    <cfRule type="beginsWith" dxfId="754" priority="789" stopIfTrue="1" operator="beginsWith" text="Functioning At Risk">
      <formula>LEFT(C402,LEN("Functioning At Risk"))="Functioning At Risk"</formula>
    </cfRule>
    <cfRule type="beginsWith" dxfId="753" priority="790" stopIfTrue="1" operator="beginsWith" text="Not Functioning">
      <formula>LEFT(C402,LEN("Not Functioning"))="Not Functioning"</formula>
    </cfRule>
    <cfRule type="containsText" dxfId="752" priority="791" operator="containsText" text="Functioning">
      <formula>NOT(ISERROR(SEARCH("Functioning",C402)))</formula>
    </cfRule>
  </conditionalFormatting>
  <conditionalFormatting sqref="C400">
    <cfRule type="beginsWith" dxfId="751" priority="798" stopIfTrue="1" operator="beginsWith" text="Functioning At Risk">
      <formula>LEFT(C400,LEN("Functioning At Risk"))="Functioning At Risk"</formula>
    </cfRule>
    <cfRule type="beginsWith" dxfId="750" priority="799" stopIfTrue="1" operator="beginsWith" text="Not Functioning">
      <formula>LEFT(C400,LEN("Not Functioning"))="Not Functioning"</formula>
    </cfRule>
    <cfRule type="containsText" dxfId="749" priority="800" operator="containsText" text="Functioning">
      <formula>NOT(ISERROR(SEARCH("Functioning",C400)))</formula>
    </cfRule>
  </conditionalFormatting>
  <conditionalFormatting sqref="C401">
    <cfRule type="beginsWith" dxfId="748" priority="795" stopIfTrue="1" operator="beginsWith" text="Functioning At Risk">
      <formula>LEFT(C401,LEN("Functioning At Risk"))="Functioning At Risk"</formula>
    </cfRule>
    <cfRule type="beginsWith" dxfId="747" priority="796" stopIfTrue="1" operator="beginsWith" text="Not Functioning">
      <formula>LEFT(C401,LEN("Not Functioning"))="Not Functioning"</formula>
    </cfRule>
    <cfRule type="containsText" dxfId="746" priority="797" operator="containsText" text="Functioning">
      <formula>NOT(ISERROR(SEARCH("Functioning",C401)))</formula>
    </cfRule>
  </conditionalFormatting>
  <conditionalFormatting sqref="C398:D399">
    <cfRule type="beginsWith" dxfId="745" priority="792" stopIfTrue="1" operator="beginsWith" text="Functioning At Risk">
      <formula>LEFT(C398,LEN("Functioning At Risk"))="Functioning At Risk"</formula>
    </cfRule>
    <cfRule type="beginsWith" dxfId="744" priority="793" stopIfTrue="1" operator="beginsWith" text="Not Functioning">
      <formula>LEFT(C398,LEN("Not Functioning"))="Not Functioning"</formula>
    </cfRule>
    <cfRule type="containsText" dxfId="743" priority="794" operator="containsText" text="Functioning">
      <formula>NOT(ISERROR(SEARCH("Functioning",C398)))</formula>
    </cfRule>
  </conditionalFormatting>
  <conditionalFormatting sqref="F414:F415 F392 F387 F410 F394:F395">
    <cfRule type="beginsWith" dxfId="742" priority="783" stopIfTrue="1" operator="beginsWith" text="Functioning At Risk">
      <formula>LEFT(F387,LEN("Functioning At Risk"))="Functioning At Risk"</formula>
    </cfRule>
    <cfRule type="beginsWith" dxfId="741" priority="784" stopIfTrue="1" operator="beginsWith" text="Not Functioning">
      <formula>LEFT(F387,LEN("Not Functioning"))="Not Functioning"</formula>
    </cfRule>
    <cfRule type="containsText" dxfId="740" priority="785" operator="containsText" text="Functioning">
      <formula>NOT(ISERROR(SEARCH("Functioning",F387)))</formula>
    </cfRule>
  </conditionalFormatting>
  <conditionalFormatting sqref="F398:F399">
    <cfRule type="beginsWith" dxfId="739" priority="777" stopIfTrue="1" operator="beginsWith" text="Functioning At Risk">
      <formula>LEFT(F398,LEN("Functioning At Risk"))="Functioning At Risk"</formula>
    </cfRule>
    <cfRule type="beginsWith" dxfId="738" priority="778" stopIfTrue="1" operator="beginsWith" text="Not Functioning">
      <formula>LEFT(F398,LEN("Not Functioning"))="Not Functioning"</formula>
    </cfRule>
    <cfRule type="containsText" dxfId="737" priority="779" operator="containsText" text="Functioning">
      <formula>NOT(ISERROR(SEARCH("Functioning",F398)))</formula>
    </cfRule>
  </conditionalFormatting>
  <conditionalFormatting sqref="E414:E415 E387:E388 E403:E406 E392:E393 E408">
    <cfRule type="beginsWith" dxfId="736" priority="771" stopIfTrue="1" operator="beginsWith" text="Functioning At Risk">
      <formula>LEFT(E387,LEN("Functioning At Risk"))="Functioning At Risk"</formula>
    </cfRule>
    <cfRule type="beginsWith" dxfId="735" priority="772" stopIfTrue="1" operator="beginsWith" text="Not Functioning">
      <formula>LEFT(E387,LEN("Not Functioning"))="Not Functioning"</formula>
    </cfRule>
    <cfRule type="containsText" dxfId="734" priority="773" operator="containsText" text="Functioning">
      <formula>NOT(ISERROR(SEARCH("Functioning",E387)))</formula>
    </cfRule>
  </conditionalFormatting>
  <conditionalFormatting sqref="E410">
    <cfRule type="expression" dxfId="733" priority="769">
      <formula>B341="Level 5 - Biology"</formula>
    </cfRule>
    <cfRule type="expression" dxfId="732" priority="770">
      <formula>B341="Level 4 - Physicochemical"</formula>
    </cfRule>
  </conditionalFormatting>
  <conditionalFormatting sqref="E414:E415">
    <cfRule type="expression" dxfId="731" priority="768">
      <formula>B341="Level 5 - Biology"</formula>
    </cfRule>
  </conditionalFormatting>
  <conditionalFormatting sqref="E416">
    <cfRule type="beginsWith" dxfId="730" priority="765" stopIfTrue="1" operator="beginsWith" text="Functioning At Risk">
      <formula>LEFT(E416,LEN("Functioning At Risk"))="Functioning At Risk"</formula>
    </cfRule>
    <cfRule type="beginsWith" dxfId="729" priority="766" stopIfTrue="1" operator="beginsWith" text="Not Functioning">
      <formula>LEFT(E416,LEN("Not Functioning"))="Not Functioning"</formula>
    </cfRule>
    <cfRule type="containsText" dxfId="728" priority="767" operator="containsText" text="Functioning">
      <formula>NOT(ISERROR(SEARCH("Functioning",E416)))</formula>
    </cfRule>
  </conditionalFormatting>
  <conditionalFormatting sqref="E408">
    <cfRule type="expression" dxfId="727" priority="759">
      <formula>B341="Level 4 - Physicochemical"</formula>
    </cfRule>
    <cfRule type="expression" dxfId="726" priority="764">
      <formula>B341="Level 5 - Biology"</formula>
    </cfRule>
  </conditionalFormatting>
  <conditionalFormatting sqref="E411">
    <cfRule type="expression" dxfId="725" priority="758">
      <formula>B341="Level 4 - Physicochemical"</formula>
    </cfRule>
    <cfRule type="expression" dxfId="724" priority="763">
      <formula>B341="Level 5 - Biology"</formula>
    </cfRule>
  </conditionalFormatting>
  <conditionalFormatting sqref="E412">
    <cfRule type="expression" dxfId="723" priority="757">
      <formula>B341="Level 4 - Physicochemical"</formula>
    </cfRule>
    <cfRule type="expression" dxfId="722" priority="762">
      <formula>B341="Level 5 - Biology"</formula>
    </cfRule>
  </conditionalFormatting>
  <conditionalFormatting sqref="E413">
    <cfRule type="expression" dxfId="721" priority="756">
      <formula>B341="Level 4 - Physicochemical"</formula>
    </cfRule>
    <cfRule type="expression" dxfId="720" priority="761">
      <formula>B341="Level 5 - Biology"</formula>
    </cfRule>
  </conditionalFormatting>
  <conditionalFormatting sqref="E416">
    <cfRule type="expression" dxfId="719" priority="760">
      <formula>B341="Level 5 - Biology"</formula>
    </cfRule>
  </conditionalFormatting>
  <conditionalFormatting sqref="E391">
    <cfRule type="beginsWith" dxfId="718" priority="753" stopIfTrue="1" operator="beginsWith" text="Functioning At Risk">
      <formula>LEFT(E391,LEN("Functioning At Risk"))="Functioning At Risk"</formula>
    </cfRule>
    <cfRule type="beginsWith" dxfId="717" priority="754" stopIfTrue="1" operator="beginsWith" text="Not Functioning">
      <formula>LEFT(E391,LEN("Not Functioning"))="Not Functioning"</formula>
    </cfRule>
    <cfRule type="containsText" dxfId="716" priority="755" operator="containsText" text="Functioning">
      <formula>NOT(ISERROR(SEARCH("Functioning",E391)))</formula>
    </cfRule>
  </conditionalFormatting>
  <conditionalFormatting sqref="E409">
    <cfRule type="expression" dxfId="715" priority="748">
      <formula>B341="Level 5 - Biology"</formula>
    </cfRule>
    <cfRule type="expression" dxfId="714" priority="749">
      <formula>B341="Level 4 - Physicochemical"</formula>
    </cfRule>
    <cfRule type="beginsWith" dxfId="713" priority="750" stopIfTrue="1" operator="beginsWith" text="Functioning At Risk">
      <formula>LEFT(E409,LEN("Functioning At Risk"))="Functioning At Risk"</formula>
    </cfRule>
    <cfRule type="beginsWith" dxfId="712" priority="751" stopIfTrue="1" operator="beginsWith" text="Not Functioning">
      <formula>LEFT(E409,LEN("Not Functioning"))="Not Functioning"</formula>
    </cfRule>
    <cfRule type="containsText" dxfId="711" priority="752" operator="containsText" text="Functioning">
      <formula>NOT(ISERROR(SEARCH("Functioning",E409)))</formula>
    </cfRule>
  </conditionalFormatting>
  <conditionalFormatting sqref="E126:E127">
    <cfRule type="beginsWith" dxfId="710" priority="742" stopIfTrue="1" operator="beginsWith" text="Functioning At Risk">
      <formula>LEFT(E126,LEN("Functioning At Risk"))="Functioning At Risk"</formula>
    </cfRule>
    <cfRule type="beginsWith" dxfId="709" priority="743" stopIfTrue="1" operator="beginsWith" text="Not Functioning">
      <formula>LEFT(E126,LEN("Not Functioning"))="Not Functioning"</formula>
    </cfRule>
    <cfRule type="containsText" dxfId="708" priority="744" operator="containsText" text="Functioning">
      <formula>NOT(ISERROR(SEARCH("Functioning",E126)))</formula>
    </cfRule>
  </conditionalFormatting>
  <conditionalFormatting sqref="F46">
    <cfRule type="beginsWith" dxfId="707" priority="709" stopIfTrue="1" operator="beginsWith" text="Functioning At Risk">
      <formula>LEFT(F46,LEN("Functioning At Risk"))="Functioning At Risk"</formula>
    </cfRule>
    <cfRule type="beginsWith" dxfId="706" priority="710" stopIfTrue="1" operator="beginsWith" text="Not Functioning">
      <formula>LEFT(F46,LEN("Not Functioning"))="Not Functioning"</formula>
    </cfRule>
    <cfRule type="containsText" dxfId="705" priority="711" operator="containsText" text="Functioning">
      <formula>NOT(ISERROR(SEARCH("Functioning",F46)))</formula>
    </cfRule>
  </conditionalFormatting>
  <conditionalFormatting sqref="F84">
    <cfRule type="beginsWith" dxfId="704" priority="706" stopIfTrue="1" operator="beginsWith" text="Functioning At Risk">
      <formula>LEFT(F84,LEN("Functioning At Risk"))="Functioning At Risk"</formula>
    </cfRule>
    <cfRule type="beginsWith" dxfId="703" priority="707" stopIfTrue="1" operator="beginsWith" text="Not Functioning">
      <formula>LEFT(F84,LEN("Not Functioning"))="Not Functioning"</formula>
    </cfRule>
    <cfRule type="containsText" dxfId="702" priority="708" operator="containsText" text="Functioning">
      <formula>NOT(ISERROR(SEARCH("Functioning",F84)))</formula>
    </cfRule>
  </conditionalFormatting>
  <conditionalFormatting sqref="F122">
    <cfRule type="beginsWith" dxfId="701" priority="703" stopIfTrue="1" operator="beginsWith" text="Functioning At Risk">
      <formula>LEFT(F122,LEN("Functioning At Risk"))="Functioning At Risk"</formula>
    </cfRule>
    <cfRule type="beginsWith" dxfId="700" priority="704" stopIfTrue="1" operator="beginsWith" text="Not Functioning">
      <formula>LEFT(F122,LEN("Not Functioning"))="Not Functioning"</formula>
    </cfRule>
    <cfRule type="containsText" dxfId="699" priority="705" operator="containsText" text="Functioning">
      <formula>NOT(ISERROR(SEARCH("Functioning",F122)))</formula>
    </cfRule>
  </conditionalFormatting>
  <conditionalFormatting sqref="F160">
    <cfRule type="beginsWith" dxfId="698" priority="700" stopIfTrue="1" operator="beginsWith" text="Functioning At Risk">
      <formula>LEFT(F160,LEN("Functioning At Risk"))="Functioning At Risk"</formula>
    </cfRule>
    <cfRule type="beginsWith" dxfId="697" priority="701" stopIfTrue="1" operator="beginsWith" text="Not Functioning">
      <formula>LEFT(F160,LEN("Not Functioning"))="Not Functioning"</formula>
    </cfRule>
    <cfRule type="containsText" dxfId="696" priority="702" operator="containsText" text="Functioning">
      <formula>NOT(ISERROR(SEARCH("Functioning",F160)))</formula>
    </cfRule>
  </conditionalFormatting>
  <conditionalFormatting sqref="F236">
    <cfRule type="beginsWith" dxfId="695" priority="694" stopIfTrue="1" operator="beginsWith" text="Functioning At Risk">
      <formula>LEFT(F236,LEN("Functioning At Risk"))="Functioning At Risk"</formula>
    </cfRule>
    <cfRule type="beginsWith" dxfId="694" priority="695" stopIfTrue="1" operator="beginsWith" text="Not Functioning">
      <formula>LEFT(F236,LEN("Not Functioning"))="Not Functioning"</formula>
    </cfRule>
    <cfRule type="containsText" dxfId="693" priority="696" operator="containsText" text="Functioning">
      <formula>NOT(ISERROR(SEARCH("Functioning",F236)))</formula>
    </cfRule>
  </conditionalFormatting>
  <conditionalFormatting sqref="F198">
    <cfRule type="beginsWith" dxfId="692" priority="697" stopIfTrue="1" operator="beginsWith" text="Functioning At Risk">
      <formula>LEFT(F198,LEN("Functioning At Risk"))="Functioning At Risk"</formula>
    </cfRule>
    <cfRule type="beginsWith" dxfId="691" priority="698" stopIfTrue="1" operator="beginsWith" text="Not Functioning">
      <formula>LEFT(F198,LEN("Not Functioning"))="Not Functioning"</formula>
    </cfRule>
    <cfRule type="containsText" dxfId="690" priority="699" operator="containsText" text="Functioning">
      <formula>NOT(ISERROR(SEARCH("Functioning",F198)))</formula>
    </cfRule>
  </conditionalFormatting>
  <conditionalFormatting sqref="F274">
    <cfRule type="beginsWith" dxfId="689" priority="691" stopIfTrue="1" operator="beginsWith" text="Functioning At Risk">
      <formula>LEFT(F274,LEN("Functioning At Risk"))="Functioning At Risk"</formula>
    </cfRule>
    <cfRule type="beginsWith" dxfId="688" priority="692" stopIfTrue="1" operator="beginsWith" text="Not Functioning">
      <formula>LEFT(F274,LEN("Not Functioning"))="Not Functioning"</formula>
    </cfRule>
    <cfRule type="containsText" dxfId="687" priority="693" operator="containsText" text="Functioning">
      <formula>NOT(ISERROR(SEARCH("Functioning",F274)))</formula>
    </cfRule>
  </conditionalFormatting>
  <conditionalFormatting sqref="F312">
    <cfRule type="beginsWith" dxfId="686" priority="688" stopIfTrue="1" operator="beginsWith" text="Functioning At Risk">
      <formula>LEFT(F312,LEN("Functioning At Risk"))="Functioning At Risk"</formula>
    </cfRule>
    <cfRule type="beginsWith" dxfId="685" priority="689" stopIfTrue="1" operator="beginsWith" text="Not Functioning">
      <formula>LEFT(F312,LEN("Not Functioning"))="Not Functioning"</formula>
    </cfRule>
    <cfRule type="containsText" dxfId="684" priority="690" operator="containsText" text="Functioning">
      <formula>NOT(ISERROR(SEARCH("Functioning",F312)))</formula>
    </cfRule>
  </conditionalFormatting>
  <conditionalFormatting sqref="F350">
    <cfRule type="beginsWith" dxfId="683" priority="685" stopIfTrue="1" operator="beginsWith" text="Functioning At Risk">
      <formula>LEFT(F350,LEN("Functioning At Risk"))="Functioning At Risk"</formula>
    </cfRule>
    <cfRule type="beginsWith" dxfId="682" priority="686" stopIfTrue="1" operator="beginsWith" text="Not Functioning">
      <formula>LEFT(F350,LEN("Not Functioning"))="Not Functioning"</formula>
    </cfRule>
    <cfRule type="containsText" dxfId="681" priority="687" operator="containsText" text="Functioning">
      <formula>NOT(ISERROR(SEARCH("Functioning",F350)))</formula>
    </cfRule>
  </conditionalFormatting>
  <conditionalFormatting sqref="F388">
    <cfRule type="beginsWith" dxfId="680" priority="682" stopIfTrue="1" operator="beginsWith" text="Functioning At Risk">
      <formula>LEFT(F388,LEN("Functioning At Risk"))="Functioning At Risk"</formula>
    </cfRule>
    <cfRule type="beginsWith" dxfId="679" priority="683" stopIfTrue="1" operator="beginsWith" text="Not Functioning">
      <formula>LEFT(F388,LEN("Not Functioning"))="Not Functioning"</formula>
    </cfRule>
    <cfRule type="containsText" dxfId="678" priority="684" operator="containsText" text="Functioning">
      <formula>NOT(ISERROR(SEARCH("Functioning",F388)))</formula>
    </cfRule>
  </conditionalFormatting>
  <conditionalFormatting sqref="E96">
    <cfRule type="beginsWith" dxfId="677" priority="676" stopIfTrue="1" operator="beginsWith" text="Functioning At Risk">
      <formula>LEFT(E96,LEN("Functioning At Risk"))="Functioning At Risk"</formula>
    </cfRule>
    <cfRule type="beginsWith" dxfId="676" priority="677" stopIfTrue="1" operator="beginsWith" text="Not Functioning">
      <formula>LEFT(E96,LEN("Not Functioning"))="Not Functioning"</formula>
    </cfRule>
    <cfRule type="containsText" dxfId="675" priority="678" operator="containsText" text="Functioning">
      <formula>NOT(ISERROR(SEARCH("Functioning",E96)))</formula>
    </cfRule>
  </conditionalFormatting>
  <conditionalFormatting sqref="E58">
    <cfRule type="beginsWith" dxfId="674" priority="679" stopIfTrue="1" operator="beginsWith" text="Functioning At Risk">
      <formula>LEFT(E58,LEN("Functioning At Risk"))="Functioning At Risk"</formula>
    </cfRule>
    <cfRule type="beginsWith" dxfId="673" priority="680" stopIfTrue="1" operator="beginsWith" text="Not Functioning">
      <formula>LEFT(E58,LEN("Not Functioning"))="Not Functioning"</formula>
    </cfRule>
    <cfRule type="containsText" dxfId="672" priority="681" operator="containsText" text="Functioning">
      <formula>NOT(ISERROR(SEARCH("Functioning",E58)))</formula>
    </cfRule>
  </conditionalFormatting>
  <conditionalFormatting sqref="E134">
    <cfRule type="beginsWith" dxfId="671" priority="673" stopIfTrue="1" operator="beginsWith" text="Functioning At Risk">
      <formula>LEFT(E134,LEN("Functioning At Risk"))="Functioning At Risk"</formula>
    </cfRule>
    <cfRule type="beginsWith" dxfId="670" priority="674" stopIfTrue="1" operator="beginsWith" text="Not Functioning">
      <formula>LEFT(E134,LEN("Not Functioning"))="Not Functioning"</formula>
    </cfRule>
    <cfRule type="containsText" dxfId="669" priority="675" operator="containsText" text="Functioning">
      <formula>NOT(ISERROR(SEARCH("Functioning",E134)))</formula>
    </cfRule>
  </conditionalFormatting>
  <conditionalFormatting sqref="E172">
    <cfRule type="beginsWith" dxfId="668" priority="670" stopIfTrue="1" operator="beginsWith" text="Functioning At Risk">
      <formula>LEFT(E172,LEN("Functioning At Risk"))="Functioning At Risk"</formula>
    </cfRule>
    <cfRule type="beginsWith" dxfId="667" priority="671" stopIfTrue="1" operator="beginsWith" text="Not Functioning">
      <formula>LEFT(E172,LEN("Not Functioning"))="Not Functioning"</formula>
    </cfRule>
    <cfRule type="containsText" dxfId="666" priority="672" operator="containsText" text="Functioning">
      <formula>NOT(ISERROR(SEARCH("Functioning",E172)))</formula>
    </cfRule>
  </conditionalFormatting>
  <conditionalFormatting sqref="E210">
    <cfRule type="beginsWith" dxfId="665" priority="667" stopIfTrue="1" operator="beginsWith" text="Functioning At Risk">
      <formula>LEFT(E210,LEN("Functioning At Risk"))="Functioning At Risk"</formula>
    </cfRule>
    <cfRule type="beginsWith" dxfId="664" priority="668" stopIfTrue="1" operator="beginsWith" text="Not Functioning">
      <formula>LEFT(E210,LEN("Not Functioning"))="Not Functioning"</formula>
    </cfRule>
    <cfRule type="containsText" dxfId="663" priority="669" operator="containsText" text="Functioning">
      <formula>NOT(ISERROR(SEARCH("Functioning",E210)))</formula>
    </cfRule>
  </conditionalFormatting>
  <conditionalFormatting sqref="E248">
    <cfRule type="beginsWith" dxfId="662" priority="664" stopIfTrue="1" operator="beginsWith" text="Functioning At Risk">
      <formula>LEFT(E248,LEN("Functioning At Risk"))="Functioning At Risk"</formula>
    </cfRule>
    <cfRule type="beginsWith" dxfId="661" priority="665" stopIfTrue="1" operator="beginsWith" text="Not Functioning">
      <formula>LEFT(E248,LEN("Not Functioning"))="Not Functioning"</formula>
    </cfRule>
    <cfRule type="containsText" dxfId="660" priority="666" operator="containsText" text="Functioning">
      <formula>NOT(ISERROR(SEARCH("Functioning",E248)))</formula>
    </cfRule>
  </conditionalFormatting>
  <conditionalFormatting sqref="B403:C403 C404:C405">
    <cfRule type="beginsWith" dxfId="659" priority="649" stopIfTrue="1" operator="beginsWith" text="Functioning At Risk">
      <formula>LEFT(B403,LEN("Functioning At Risk"))="Functioning At Risk"</formula>
    </cfRule>
    <cfRule type="beginsWith" dxfId="658" priority="650" stopIfTrue="1" operator="beginsWith" text="Not Functioning">
      <formula>LEFT(B403,LEN("Not Functioning"))="Not Functioning"</formula>
    </cfRule>
    <cfRule type="containsText" dxfId="657" priority="651" operator="containsText" text="Functioning">
      <formula>NOT(ISERROR(SEARCH("Functioning",B403)))</formula>
    </cfRule>
  </conditionalFormatting>
  <conditionalFormatting sqref="D365:D368">
    <cfRule type="beginsWith" dxfId="656" priority="646" stopIfTrue="1" operator="beginsWith" text="Functioning At Risk">
      <formula>LEFT(D365,LEN("Functioning At Risk"))="Functioning At Risk"</formula>
    </cfRule>
    <cfRule type="beginsWith" dxfId="655" priority="647" stopIfTrue="1" operator="beginsWith" text="Not Functioning">
      <formula>LEFT(D365,LEN("Not Functioning"))="Not Functioning"</formula>
    </cfRule>
    <cfRule type="containsText" dxfId="654" priority="648" operator="containsText" text="Functioning">
      <formula>NOT(ISERROR(SEARCH("Functioning",D365)))</formula>
    </cfRule>
  </conditionalFormatting>
  <conditionalFormatting sqref="E289:E292">
    <cfRule type="beginsWith" dxfId="653" priority="616" stopIfTrue="1" operator="beginsWith" text="Functioning At Risk">
      <formula>LEFT(E289,LEN("Functioning At Risk"))="Functioning At Risk"</formula>
    </cfRule>
    <cfRule type="beginsWith" dxfId="652" priority="617" stopIfTrue="1" operator="beginsWith" text="Not Functioning">
      <formula>LEFT(E289,LEN("Not Functioning"))="Not Functioning"</formula>
    </cfRule>
    <cfRule type="containsText" dxfId="651" priority="618" operator="containsText" text="Functioning">
      <formula>NOT(ISERROR(SEARCH("Functioning",E289)))</formula>
    </cfRule>
  </conditionalFormatting>
  <conditionalFormatting sqref="E365:E368">
    <cfRule type="beginsWith" dxfId="650" priority="640" stopIfTrue="1" operator="beginsWith" text="Functioning At Risk">
      <formula>LEFT(E365,LEN("Functioning At Risk"))="Functioning At Risk"</formula>
    </cfRule>
    <cfRule type="beginsWith" dxfId="649" priority="641" stopIfTrue="1" operator="beginsWith" text="Not Functioning">
      <formula>LEFT(E365,LEN("Not Functioning"))="Not Functioning"</formula>
    </cfRule>
    <cfRule type="containsText" dxfId="648" priority="642" operator="containsText" text="Functioning">
      <formula>NOT(ISERROR(SEARCH("Functioning",E365)))</formula>
    </cfRule>
  </conditionalFormatting>
  <conditionalFormatting sqref="B365:C365 C366:C367">
    <cfRule type="beginsWith" dxfId="647" priority="637" stopIfTrue="1" operator="beginsWith" text="Functioning At Risk">
      <formula>LEFT(B365,LEN("Functioning At Risk"))="Functioning At Risk"</formula>
    </cfRule>
    <cfRule type="beginsWith" dxfId="646" priority="638" stopIfTrue="1" operator="beginsWith" text="Not Functioning">
      <formula>LEFT(B365,LEN("Not Functioning"))="Not Functioning"</formula>
    </cfRule>
    <cfRule type="containsText" dxfId="645" priority="639" operator="containsText" text="Functioning">
      <formula>NOT(ISERROR(SEARCH("Functioning",B365)))</formula>
    </cfRule>
  </conditionalFormatting>
  <conditionalFormatting sqref="D327:D330">
    <cfRule type="beginsWith" dxfId="644" priority="634" stopIfTrue="1" operator="beginsWith" text="Functioning At Risk">
      <formula>LEFT(D327,LEN("Functioning At Risk"))="Functioning At Risk"</formula>
    </cfRule>
    <cfRule type="beginsWith" dxfId="643" priority="635" stopIfTrue="1" operator="beginsWith" text="Not Functioning">
      <formula>LEFT(D327,LEN("Not Functioning"))="Not Functioning"</formula>
    </cfRule>
    <cfRule type="containsText" dxfId="642" priority="636" operator="containsText" text="Functioning">
      <formula>NOT(ISERROR(SEARCH("Functioning",D327)))</formula>
    </cfRule>
  </conditionalFormatting>
  <conditionalFormatting sqref="F252">
    <cfRule type="beginsWith" dxfId="641" priority="607" stopIfTrue="1" operator="beginsWith" text="Functioning At Risk">
      <formula>LEFT(F252,LEN("Functioning At Risk"))="Functioning At Risk"</formula>
    </cfRule>
    <cfRule type="beginsWith" dxfId="640" priority="608" stopIfTrue="1" operator="beginsWith" text="Not Functioning">
      <formula>LEFT(F252,LEN("Not Functioning"))="Not Functioning"</formula>
    </cfRule>
    <cfRule type="containsText" dxfId="639" priority="609" operator="containsText" text="Functioning">
      <formula>NOT(ISERROR(SEARCH("Functioning",F252)))</formula>
    </cfRule>
  </conditionalFormatting>
  <conditionalFormatting sqref="E327:E330">
    <cfRule type="beginsWith" dxfId="638" priority="628" stopIfTrue="1" operator="beginsWith" text="Functioning At Risk">
      <formula>LEFT(E327,LEN("Functioning At Risk"))="Functioning At Risk"</formula>
    </cfRule>
    <cfRule type="beginsWith" dxfId="637" priority="629" stopIfTrue="1" operator="beginsWith" text="Not Functioning">
      <formula>LEFT(E327,LEN("Not Functioning"))="Not Functioning"</formula>
    </cfRule>
    <cfRule type="containsText" dxfId="636" priority="630" operator="containsText" text="Functioning">
      <formula>NOT(ISERROR(SEARCH("Functioning",E327)))</formula>
    </cfRule>
  </conditionalFormatting>
  <conditionalFormatting sqref="B327:C327 C328:C329">
    <cfRule type="beginsWith" dxfId="635" priority="625" stopIfTrue="1" operator="beginsWith" text="Functioning At Risk">
      <formula>LEFT(B327,LEN("Functioning At Risk"))="Functioning At Risk"</formula>
    </cfRule>
    <cfRule type="beginsWith" dxfId="634" priority="626" stopIfTrue="1" operator="beginsWith" text="Not Functioning">
      <formula>LEFT(B327,LEN("Not Functioning"))="Not Functioning"</formula>
    </cfRule>
    <cfRule type="containsText" dxfId="633" priority="627" operator="containsText" text="Functioning">
      <formula>NOT(ISERROR(SEARCH("Functioning",B327)))</formula>
    </cfRule>
  </conditionalFormatting>
  <conditionalFormatting sqref="D289:D292">
    <cfRule type="beginsWith" dxfId="632" priority="622" stopIfTrue="1" operator="beginsWith" text="Functioning At Risk">
      <formula>LEFT(D289,LEN("Functioning At Risk"))="Functioning At Risk"</formula>
    </cfRule>
    <cfRule type="beginsWith" dxfId="631" priority="623" stopIfTrue="1" operator="beginsWith" text="Not Functioning">
      <formula>LEFT(D289,LEN("Not Functioning"))="Not Functioning"</formula>
    </cfRule>
    <cfRule type="containsText" dxfId="630" priority="624" operator="containsText" text="Functioning">
      <formula>NOT(ISERROR(SEARCH("Functioning",D289)))</formula>
    </cfRule>
  </conditionalFormatting>
  <conditionalFormatting sqref="D213:D216">
    <cfRule type="beginsWith" dxfId="629" priority="598" stopIfTrue="1" operator="beginsWith" text="Functioning At Risk">
      <formula>LEFT(D213,LEN("Functioning At Risk"))="Functioning At Risk"</formula>
    </cfRule>
    <cfRule type="beginsWith" dxfId="628" priority="599" stopIfTrue="1" operator="beginsWith" text="Not Functioning">
      <formula>LEFT(D213,LEN("Not Functioning"))="Not Functioning"</formula>
    </cfRule>
    <cfRule type="containsText" dxfId="627" priority="600" operator="containsText" text="Functioning">
      <formula>NOT(ISERROR(SEARCH("Functioning",D213)))</formula>
    </cfRule>
  </conditionalFormatting>
  <conditionalFormatting sqref="B289:C289 C290:C291">
    <cfRule type="beginsWith" dxfId="626" priority="613" stopIfTrue="1" operator="beginsWith" text="Functioning At Risk">
      <formula>LEFT(B289,LEN("Functioning At Risk"))="Functioning At Risk"</formula>
    </cfRule>
    <cfRule type="beginsWith" dxfId="625" priority="614" stopIfTrue="1" operator="beginsWith" text="Not Functioning">
      <formula>LEFT(B289,LEN("Not Functioning"))="Not Functioning"</formula>
    </cfRule>
    <cfRule type="containsText" dxfId="624" priority="615" operator="containsText" text="Functioning">
      <formula>NOT(ISERROR(SEARCH("Functioning",B289)))</formula>
    </cfRule>
  </conditionalFormatting>
  <conditionalFormatting sqref="D251:D254">
    <cfRule type="beginsWith" dxfId="623" priority="610" stopIfTrue="1" operator="beginsWith" text="Functioning At Risk">
      <formula>LEFT(D251,LEN("Functioning At Risk"))="Functioning At Risk"</formula>
    </cfRule>
    <cfRule type="beginsWith" dxfId="622" priority="611" stopIfTrue="1" operator="beginsWith" text="Not Functioning">
      <formula>LEFT(D251,LEN("Not Functioning"))="Not Functioning"</formula>
    </cfRule>
    <cfRule type="containsText" dxfId="621" priority="612" operator="containsText" text="Functioning">
      <formula>NOT(ISERROR(SEARCH("Functioning",D251)))</formula>
    </cfRule>
  </conditionalFormatting>
  <conditionalFormatting sqref="E251:E254">
    <cfRule type="beginsWith" dxfId="620" priority="604" stopIfTrue="1" operator="beginsWith" text="Functioning At Risk">
      <formula>LEFT(E251,LEN("Functioning At Risk"))="Functioning At Risk"</formula>
    </cfRule>
    <cfRule type="beginsWith" dxfId="619" priority="605" stopIfTrue="1" operator="beginsWith" text="Not Functioning">
      <formula>LEFT(E251,LEN("Not Functioning"))="Not Functioning"</formula>
    </cfRule>
    <cfRule type="containsText" dxfId="618" priority="606" operator="containsText" text="Functioning">
      <formula>NOT(ISERROR(SEARCH("Functioning",E251)))</formula>
    </cfRule>
  </conditionalFormatting>
  <conditionalFormatting sqref="B251:C251 C252:C253">
    <cfRule type="beginsWith" dxfId="617" priority="601" stopIfTrue="1" operator="beginsWith" text="Functioning At Risk">
      <formula>LEFT(B251,LEN("Functioning At Risk"))="Functioning At Risk"</formula>
    </cfRule>
    <cfRule type="beginsWith" dxfId="616" priority="602" stopIfTrue="1" operator="beginsWith" text="Not Functioning">
      <formula>LEFT(B251,LEN("Not Functioning"))="Not Functioning"</formula>
    </cfRule>
    <cfRule type="containsText" dxfId="615" priority="603" operator="containsText" text="Functioning">
      <formula>NOT(ISERROR(SEARCH("Functioning",B251)))</formula>
    </cfRule>
  </conditionalFormatting>
  <conditionalFormatting sqref="B175:C175 C176:C177">
    <cfRule type="beginsWith" dxfId="614" priority="577" stopIfTrue="1" operator="beginsWith" text="Functioning At Risk">
      <formula>LEFT(B175,LEN("Functioning At Risk"))="Functioning At Risk"</formula>
    </cfRule>
    <cfRule type="beginsWith" dxfId="613" priority="578" stopIfTrue="1" operator="beginsWith" text="Not Functioning">
      <formula>LEFT(B175,LEN("Not Functioning"))="Not Functioning"</formula>
    </cfRule>
    <cfRule type="containsText" dxfId="612" priority="579" operator="containsText" text="Functioning">
      <formula>NOT(ISERROR(SEARCH("Functioning",B175)))</formula>
    </cfRule>
  </conditionalFormatting>
  <conditionalFormatting sqref="E213:E216">
    <cfRule type="beginsWith" dxfId="611" priority="592" stopIfTrue="1" operator="beginsWith" text="Functioning At Risk">
      <formula>LEFT(E213,LEN("Functioning At Risk"))="Functioning At Risk"</formula>
    </cfRule>
    <cfRule type="beginsWith" dxfId="610" priority="593" stopIfTrue="1" operator="beginsWith" text="Not Functioning">
      <formula>LEFT(E213,LEN("Not Functioning"))="Not Functioning"</formula>
    </cfRule>
    <cfRule type="containsText" dxfId="609" priority="594" operator="containsText" text="Functioning">
      <formula>NOT(ISERROR(SEARCH("Functioning",E213)))</formula>
    </cfRule>
  </conditionalFormatting>
  <conditionalFormatting sqref="B213:C213 C214:C215">
    <cfRule type="beginsWith" dxfId="608" priority="589" stopIfTrue="1" operator="beginsWith" text="Functioning At Risk">
      <formula>LEFT(B213,LEN("Functioning At Risk"))="Functioning At Risk"</formula>
    </cfRule>
    <cfRule type="beginsWith" dxfId="607" priority="590" stopIfTrue="1" operator="beginsWith" text="Not Functioning">
      <formula>LEFT(B213,LEN("Not Functioning"))="Not Functioning"</formula>
    </cfRule>
    <cfRule type="containsText" dxfId="606" priority="591" operator="containsText" text="Functioning">
      <formula>NOT(ISERROR(SEARCH("Functioning",B213)))</formula>
    </cfRule>
  </conditionalFormatting>
  <conditionalFormatting sqref="D175:D178">
    <cfRule type="beginsWith" dxfId="605" priority="586" stopIfTrue="1" operator="beginsWith" text="Functioning At Risk">
      <formula>LEFT(D175,LEN("Functioning At Risk"))="Functioning At Risk"</formula>
    </cfRule>
    <cfRule type="beginsWith" dxfId="604" priority="587" stopIfTrue="1" operator="beginsWith" text="Not Functioning">
      <formula>LEFT(D175,LEN("Not Functioning"))="Not Functioning"</formula>
    </cfRule>
    <cfRule type="containsText" dxfId="603" priority="588" operator="containsText" text="Functioning">
      <formula>NOT(ISERROR(SEARCH("Functioning",D175)))</formula>
    </cfRule>
  </conditionalFormatting>
  <conditionalFormatting sqref="E137:E140">
    <cfRule type="beginsWith" dxfId="602" priority="568" stopIfTrue="1" operator="beginsWith" text="Functioning At Risk">
      <formula>LEFT(E137,LEN("Functioning At Risk"))="Functioning At Risk"</formula>
    </cfRule>
    <cfRule type="beginsWith" dxfId="601" priority="569" stopIfTrue="1" operator="beginsWith" text="Not Functioning">
      <formula>LEFT(E137,LEN("Not Functioning"))="Not Functioning"</formula>
    </cfRule>
    <cfRule type="containsText" dxfId="600" priority="570" operator="containsText" text="Functioning">
      <formula>NOT(ISERROR(SEARCH("Functioning",E137)))</formula>
    </cfRule>
  </conditionalFormatting>
  <conditionalFormatting sqref="E175:E178">
    <cfRule type="beginsWith" dxfId="599" priority="580" stopIfTrue="1" operator="beginsWith" text="Functioning At Risk">
      <formula>LEFT(E175,LEN("Functioning At Risk"))="Functioning At Risk"</formula>
    </cfRule>
    <cfRule type="beginsWith" dxfId="598" priority="581" stopIfTrue="1" operator="beginsWith" text="Not Functioning">
      <formula>LEFT(E175,LEN("Not Functioning"))="Not Functioning"</formula>
    </cfRule>
    <cfRule type="containsText" dxfId="597" priority="582" operator="containsText" text="Functioning">
      <formula>NOT(ISERROR(SEARCH("Functioning",E175)))</formula>
    </cfRule>
  </conditionalFormatting>
  <conditionalFormatting sqref="D137:D140">
    <cfRule type="beginsWith" dxfId="596" priority="574" stopIfTrue="1" operator="beginsWith" text="Functioning At Risk">
      <formula>LEFT(D137,LEN("Functioning At Risk"))="Functioning At Risk"</formula>
    </cfRule>
    <cfRule type="beginsWith" dxfId="595" priority="575" stopIfTrue="1" operator="beginsWith" text="Not Functioning">
      <formula>LEFT(D137,LEN("Not Functioning"))="Not Functioning"</formula>
    </cfRule>
    <cfRule type="containsText" dxfId="594" priority="576" operator="containsText" text="Functioning">
      <formula>NOT(ISERROR(SEARCH("Functioning",D137)))</formula>
    </cfRule>
  </conditionalFormatting>
  <conditionalFormatting sqref="B137:C137 C138:C139">
    <cfRule type="beginsWith" dxfId="593" priority="565" stopIfTrue="1" operator="beginsWith" text="Functioning At Risk">
      <formula>LEFT(B137,LEN("Functioning At Risk"))="Functioning At Risk"</formula>
    </cfRule>
    <cfRule type="beginsWith" dxfId="592" priority="566" stopIfTrue="1" operator="beginsWith" text="Not Functioning">
      <formula>LEFT(B137,LEN("Not Functioning"))="Not Functioning"</formula>
    </cfRule>
    <cfRule type="containsText" dxfId="591" priority="567" operator="containsText" text="Functioning">
      <formula>NOT(ISERROR(SEARCH("Functioning",B137)))</formula>
    </cfRule>
  </conditionalFormatting>
  <conditionalFormatting sqref="D99:D102">
    <cfRule type="beginsWith" dxfId="590" priority="562" stopIfTrue="1" operator="beginsWith" text="Functioning At Risk">
      <formula>LEFT(D99,LEN("Functioning At Risk"))="Functioning At Risk"</formula>
    </cfRule>
    <cfRule type="beginsWith" dxfId="589" priority="563" stopIfTrue="1" operator="beginsWith" text="Not Functioning">
      <formula>LEFT(D99,LEN("Not Functioning"))="Not Functioning"</formula>
    </cfRule>
    <cfRule type="containsText" dxfId="588" priority="564" operator="containsText" text="Functioning">
      <formula>NOT(ISERROR(SEARCH("Functioning",D99)))</formula>
    </cfRule>
  </conditionalFormatting>
  <conditionalFormatting sqref="D61:D64">
    <cfRule type="beginsWith" dxfId="587" priority="550" stopIfTrue="1" operator="beginsWith" text="Functioning At Risk">
      <formula>LEFT(D61,LEN("Functioning At Risk"))="Functioning At Risk"</formula>
    </cfRule>
    <cfRule type="beginsWith" dxfId="586" priority="551" stopIfTrue="1" operator="beginsWith" text="Not Functioning">
      <formula>LEFT(D61,LEN("Not Functioning"))="Not Functioning"</formula>
    </cfRule>
    <cfRule type="containsText" dxfId="585" priority="552" operator="containsText" text="Functioning">
      <formula>NOT(ISERROR(SEARCH("Functioning",D61)))</formula>
    </cfRule>
  </conditionalFormatting>
  <conditionalFormatting sqref="E99:E102">
    <cfRule type="beginsWith" dxfId="584" priority="556" stopIfTrue="1" operator="beginsWith" text="Functioning At Risk">
      <formula>LEFT(E99,LEN("Functioning At Risk"))="Functioning At Risk"</formula>
    </cfRule>
    <cfRule type="beginsWith" dxfId="583" priority="557" stopIfTrue="1" operator="beginsWith" text="Not Functioning">
      <formula>LEFT(E99,LEN("Not Functioning"))="Not Functioning"</formula>
    </cfRule>
    <cfRule type="containsText" dxfId="582" priority="558" operator="containsText" text="Functioning">
      <formula>NOT(ISERROR(SEARCH("Functioning",E99)))</formula>
    </cfRule>
  </conditionalFormatting>
  <conditionalFormatting sqref="B99:C99 C100:C101">
    <cfRule type="beginsWith" dxfId="581" priority="553" stopIfTrue="1" operator="beginsWith" text="Functioning At Risk">
      <formula>LEFT(B99,LEN("Functioning At Risk"))="Functioning At Risk"</formula>
    </cfRule>
    <cfRule type="beginsWith" dxfId="580" priority="554" stopIfTrue="1" operator="beginsWith" text="Not Functioning">
      <formula>LEFT(B99,LEN("Not Functioning"))="Not Functioning"</formula>
    </cfRule>
    <cfRule type="containsText" dxfId="579" priority="555" operator="containsText" text="Functioning">
      <formula>NOT(ISERROR(SEARCH("Functioning",B99)))</formula>
    </cfRule>
  </conditionalFormatting>
  <conditionalFormatting sqref="B61:C61 C62:C63">
    <cfRule type="beginsWith" dxfId="578" priority="541" stopIfTrue="1" operator="beginsWith" text="Functioning At Risk">
      <formula>LEFT(B61,LEN("Functioning At Risk"))="Functioning At Risk"</formula>
    </cfRule>
    <cfRule type="beginsWith" dxfId="577" priority="542" stopIfTrue="1" operator="beginsWith" text="Not Functioning">
      <formula>LEFT(B61,LEN("Not Functioning"))="Not Functioning"</formula>
    </cfRule>
    <cfRule type="containsText" dxfId="576" priority="543" operator="containsText" text="Functioning">
      <formula>NOT(ISERROR(SEARCH("Functioning",B61)))</formula>
    </cfRule>
  </conditionalFormatting>
  <conditionalFormatting sqref="E61:E64">
    <cfRule type="beginsWith" dxfId="575" priority="544" stopIfTrue="1" operator="beginsWith" text="Functioning At Risk">
      <formula>LEFT(E61,LEN("Functioning At Risk"))="Functioning At Risk"</formula>
    </cfRule>
    <cfRule type="beginsWith" dxfId="574" priority="545" stopIfTrue="1" operator="beginsWith" text="Not Functioning">
      <formula>LEFT(E61,LEN("Not Functioning"))="Not Functioning"</formula>
    </cfRule>
    <cfRule type="containsText" dxfId="573" priority="546" operator="containsText" text="Functioning">
      <formula>NOT(ISERROR(SEARCH("Functioning",E61)))</formula>
    </cfRule>
  </conditionalFormatting>
  <conditionalFormatting sqref="D23:D26">
    <cfRule type="beginsWith" dxfId="572" priority="538" stopIfTrue="1" operator="beginsWith" text="Functioning At Risk">
      <formula>LEFT(D23,LEN("Functioning At Risk"))="Functioning At Risk"</formula>
    </cfRule>
    <cfRule type="beginsWith" dxfId="571" priority="539" stopIfTrue="1" operator="beginsWith" text="Not Functioning">
      <formula>LEFT(D23,LEN("Not Functioning"))="Not Functioning"</formula>
    </cfRule>
    <cfRule type="containsText" dxfId="570" priority="540" operator="containsText" text="Functioning">
      <formula>NOT(ISERROR(SEARCH("Functioning",D23)))</formula>
    </cfRule>
  </conditionalFormatting>
  <conditionalFormatting sqref="E23:E26">
    <cfRule type="beginsWith" dxfId="569" priority="532" stopIfTrue="1" operator="beginsWith" text="Functioning At Risk">
      <formula>LEFT(E23,LEN("Functioning At Risk"))="Functioning At Risk"</formula>
    </cfRule>
    <cfRule type="beginsWith" dxfId="568" priority="533" stopIfTrue="1" operator="beginsWith" text="Not Functioning">
      <formula>LEFT(E23,LEN("Not Functioning"))="Not Functioning"</formula>
    </cfRule>
    <cfRule type="containsText" dxfId="567" priority="534" operator="containsText" text="Functioning">
      <formula>NOT(ISERROR(SEARCH("Functioning",E23)))</formula>
    </cfRule>
  </conditionalFormatting>
  <conditionalFormatting sqref="B23:C23 C24:C25">
    <cfRule type="beginsWith" dxfId="566" priority="529" stopIfTrue="1" operator="beginsWith" text="Functioning At Risk">
      <formula>LEFT(B23,LEN("Functioning At Risk"))="Functioning At Risk"</formula>
    </cfRule>
    <cfRule type="beginsWith" dxfId="565" priority="530" stopIfTrue="1" operator="beginsWith" text="Not Functioning">
      <formula>LEFT(B23,LEN("Not Functioning"))="Not Functioning"</formula>
    </cfRule>
    <cfRule type="containsText" dxfId="564" priority="531" operator="containsText" text="Functioning">
      <formula>NOT(ISERROR(SEARCH("Functioning",B23)))</formula>
    </cfRule>
  </conditionalFormatting>
  <conditionalFormatting sqref="E286 E280:E282">
    <cfRule type="beginsWith" dxfId="563" priority="526" stopIfTrue="1" operator="beginsWith" text="Functioning At Risk">
      <formula>LEFT(E280,LEN("Functioning At Risk"))="Functioning At Risk"</formula>
    </cfRule>
    <cfRule type="beginsWith" dxfId="562" priority="527" stopIfTrue="1" operator="beginsWith" text="Not Functioning">
      <formula>LEFT(E280,LEN("Not Functioning"))="Not Functioning"</formula>
    </cfRule>
    <cfRule type="containsText" dxfId="561" priority="528" operator="containsText" text="Functioning">
      <formula>NOT(ISERROR(SEARCH("Functioning",E280)))</formula>
    </cfRule>
  </conditionalFormatting>
  <conditionalFormatting sqref="E284:E285">
    <cfRule type="beginsWith" dxfId="560" priority="523" stopIfTrue="1" operator="beginsWith" text="Functioning At Risk">
      <formula>LEFT(E284,LEN("Functioning At Risk"))="Functioning At Risk"</formula>
    </cfRule>
    <cfRule type="beginsWith" dxfId="559" priority="524" stopIfTrue="1" operator="beginsWith" text="Not Functioning">
      <formula>LEFT(E284,LEN("Not Functioning"))="Not Functioning"</formula>
    </cfRule>
    <cfRule type="containsText" dxfId="558" priority="525" operator="containsText" text="Functioning">
      <formula>NOT(ISERROR(SEARCH("Functioning",E284)))</formula>
    </cfRule>
  </conditionalFormatting>
  <conditionalFormatting sqref="E324 E318:E320">
    <cfRule type="beginsWith" dxfId="557" priority="520" stopIfTrue="1" operator="beginsWith" text="Functioning At Risk">
      <formula>LEFT(E318,LEN("Functioning At Risk"))="Functioning At Risk"</formula>
    </cfRule>
    <cfRule type="beginsWith" dxfId="556" priority="521" stopIfTrue="1" operator="beginsWith" text="Not Functioning">
      <formula>LEFT(E318,LEN("Not Functioning"))="Not Functioning"</formula>
    </cfRule>
    <cfRule type="containsText" dxfId="555" priority="522" operator="containsText" text="Functioning">
      <formula>NOT(ISERROR(SEARCH("Functioning",E318)))</formula>
    </cfRule>
  </conditionalFormatting>
  <conditionalFormatting sqref="E322:E323">
    <cfRule type="beginsWith" dxfId="554" priority="517" stopIfTrue="1" operator="beginsWith" text="Functioning At Risk">
      <formula>LEFT(E322,LEN("Functioning At Risk"))="Functioning At Risk"</formula>
    </cfRule>
    <cfRule type="beginsWith" dxfId="553" priority="518" stopIfTrue="1" operator="beginsWith" text="Not Functioning">
      <formula>LEFT(E322,LEN("Not Functioning"))="Not Functioning"</formula>
    </cfRule>
    <cfRule type="containsText" dxfId="552" priority="519" operator="containsText" text="Functioning">
      <formula>NOT(ISERROR(SEARCH("Functioning",E322)))</formula>
    </cfRule>
  </conditionalFormatting>
  <conditionalFormatting sqref="E362 E356:E358">
    <cfRule type="beginsWith" dxfId="551" priority="514" stopIfTrue="1" operator="beginsWith" text="Functioning At Risk">
      <formula>LEFT(E356,LEN("Functioning At Risk"))="Functioning At Risk"</formula>
    </cfRule>
    <cfRule type="beginsWith" dxfId="550" priority="515" stopIfTrue="1" operator="beginsWith" text="Not Functioning">
      <formula>LEFT(E356,LEN("Not Functioning"))="Not Functioning"</formula>
    </cfRule>
    <cfRule type="containsText" dxfId="549" priority="516" operator="containsText" text="Functioning">
      <formula>NOT(ISERROR(SEARCH("Functioning",E356)))</formula>
    </cfRule>
  </conditionalFormatting>
  <conditionalFormatting sqref="E360:E361">
    <cfRule type="beginsWith" dxfId="548" priority="511" stopIfTrue="1" operator="beginsWith" text="Functioning At Risk">
      <formula>LEFT(E360,LEN("Functioning At Risk"))="Functioning At Risk"</formula>
    </cfRule>
    <cfRule type="beginsWith" dxfId="547" priority="512" stopIfTrue="1" operator="beginsWith" text="Not Functioning">
      <formula>LEFT(E360,LEN("Not Functioning"))="Not Functioning"</formula>
    </cfRule>
    <cfRule type="containsText" dxfId="546" priority="513" operator="containsText" text="Functioning">
      <formula>NOT(ISERROR(SEARCH("Functioning",E360)))</formula>
    </cfRule>
  </conditionalFormatting>
  <conditionalFormatting sqref="E400 E394:E396">
    <cfRule type="beginsWith" dxfId="545" priority="508" stopIfTrue="1" operator="beginsWith" text="Functioning At Risk">
      <formula>LEFT(E394,LEN("Functioning At Risk"))="Functioning At Risk"</formula>
    </cfRule>
    <cfRule type="beginsWith" dxfId="544" priority="509" stopIfTrue="1" operator="beginsWith" text="Not Functioning">
      <formula>LEFT(E394,LEN("Not Functioning"))="Not Functioning"</formula>
    </cfRule>
    <cfRule type="containsText" dxfId="543" priority="510" operator="containsText" text="Functioning">
      <formula>NOT(ISERROR(SEARCH("Functioning",E394)))</formula>
    </cfRule>
  </conditionalFormatting>
  <conditionalFormatting sqref="E398:E399">
    <cfRule type="beginsWith" dxfId="542" priority="505" stopIfTrue="1" operator="beginsWith" text="Functioning At Risk">
      <formula>LEFT(E398,LEN("Functioning At Risk"))="Functioning At Risk"</formula>
    </cfRule>
    <cfRule type="beginsWith" dxfId="541" priority="506" stopIfTrue="1" operator="beginsWith" text="Not Functioning">
      <formula>LEFT(E398,LEN("Not Functioning"))="Not Functioning"</formula>
    </cfRule>
    <cfRule type="containsText" dxfId="540" priority="507" operator="containsText" text="Functioning">
      <formula>NOT(ISERROR(SEARCH("Functioning",E398)))</formula>
    </cfRule>
  </conditionalFormatting>
  <conditionalFormatting sqref="H28 H9:H10 H7 H3:H5">
    <cfRule type="beginsWith" dxfId="539" priority="502" stopIfTrue="1" operator="beginsWith" text="Functioning At Risk">
      <formula>LEFT(H3,LEN("Functioning At Risk"))="Functioning At Risk"</formula>
    </cfRule>
    <cfRule type="beginsWith" dxfId="538" priority="503" stopIfTrue="1" operator="beginsWith" text="Not Functioning">
      <formula>LEFT(H3,LEN("Not Functioning"))="Not Functioning"</formula>
    </cfRule>
    <cfRule type="containsText" dxfId="537" priority="504" operator="containsText" text="Functioning">
      <formula>NOT(ISERROR(SEARCH("Functioning",H3)))</formula>
    </cfRule>
  </conditionalFormatting>
  <conditionalFormatting sqref="H66 H47:H48 H45 H41:H43">
    <cfRule type="beginsWith" dxfId="536" priority="499" stopIfTrue="1" operator="beginsWith" text="Functioning At Risk">
      <formula>LEFT(H41,LEN("Functioning At Risk"))="Functioning At Risk"</formula>
    </cfRule>
    <cfRule type="beginsWith" dxfId="535" priority="500" stopIfTrue="1" operator="beginsWith" text="Not Functioning">
      <formula>LEFT(H41,LEN("Not Functioning"))="Not Functioning"</formula>
    </cfRule>
    <cfRule type="containsText" dxfId="534" priority="501" operator="containsText" text="Functioning">
      <formula>NOT(ISERROR(SEARCH("Functioning",H41)))</formula>
    </cfRule>
  </conditionalFormatting>
  <conditionalFormatting sqref="H104 H85:H86 H83 H79:H81">
    <cfRule type="beginsWith" dxfId="533" priority="496" stopIfTrue="1" operator="beginsWith" text="Functioning At Risk">
      <formula>LEFT(H79,LEN("Functioning At Risk"))="Functioning At Risk"</formula>
    </cfRule>
    <cfRule type="beginsWith" dxfId="532" priority="497" stopIfTrue="1" operator="beginsWith" text="Not Functioning">
      <formula>LEFT(H79,LEN("Not Functioning"))="Not Functioning"</formula>
    </cfRule>
    <cfRule type="containsText" dxfId="531" priority="498" operator="containsText" text="Functioning">
      <formula>NOT(ISERROR(SEARCH("Functioning",H79)))</formula>
    </cfRule>
  </conditionalFormatting>
  <conditionalFormatting sqref="H142 H123:H124 H121 H117:H119">
    <cfRule type="beginsWith" dxfId="530" priority="493" stopIfTrue="1" operator="beginsWith" text="Functioning At Risk">
      <formula>LEFT(H117,LEN("Functioning At Risk"))="Functioning At Risk"</formula>
    </cfRule>
    <cfRule type="beginsWith" dxfId="529" priority="494" stopIfTrue="1" operator="beginsWith" text="Not Functioning">
      <formula>LEFT(H117,LEN("Not Functioning"))="Not Functioning"</formula>
    </cfRule>
    <cfRule type="containsText" dxfId="528" priority="495" operator="containsText" text="Functioning">
      <formula>NOT(ISERROR(SEARCH("Functioning",H117)))</formula>
    </cfRule>
  </conditionalFormatting>
  <conditionalFormatting sqref="H180 H161:H162 H159 H155:H157">
    <cfRule type="beginsWith" dxfId="527" priority="490" stopIfTrue="1" operator="beginsWith" text="Functioning At Risk">
      <formula>LEFT(H155,LEN("Functioning At Risk"))="Functioning At Risk"</formula>
    </cfRule>
    <cfRule type="beginsWith" dxfId="526" priority="491" stopIfTrue="1" operator="beginsWith" text="Not Functioning">
      <formula>LEFT(H155,LEN("Not Functioning"))="Not Functioning"</formula>
    </cfRule>
    <cfRule type="containsText" dxfId="525" priority="492" operator="containsText" text="Functioning">
      <formula>NOT(ISERROR(SEARCH("Functioning",H155)))</formula>
    </cfRule>
  </conditionalFormatting>
  <conditionalFormatting sqref="H218 H199:H200 H197 H193:H195">
    <cfRule type="beginsWith" dxfId="524" priority="487" stopIfTrue="1" operator="beginsWith" text="Functioning At Risk">
      <formula>LEFT(H193,LEN("Functioning At Risk"))="Functioning At Risk"</formula>
    </cfRule>
    <cfRule type="beginsWith" dxfId="523" priority="488" stopIfTrue="1" operator="beginsWith" text="Not Functioning">
      <formula>LEFT(H193,LEN("Not Functioning"))="Not Functioning"</formula>
    </cfRule>
    <cfRule type="containsText" dxfId="522" priority="489" operator="containsText" text="Functioning">
      <formula>NOT(ISERROR(SEARCH("Functioning",H193)))</formula>
    </cfRule>
  </conditionalFormatting>
  <conditionalFormatting sqref="H256 H237:H238 H235 H231:H233">
    <cfRule type="beginsWith" dxfId="521" priority="484" stopIfTrue="1" operator="beginsWith" text="Functioning At Risk">
      <formula>LEFT(H231,LEN("Functioning At Risk"))="Functioning At Risk"</formula>
    </cfRule>
    <cfRule type="beginsWith" dxfId="520" priority="485" stopIfTrue="1" operator="beginsWith" text="Not Functioning">
      <formula>LEFT(H231,LEN("Not Functioning"))="Not Functioning"</formula>
    </cfRule>
    <cfRule type="containsText" dxfId="519" priority="486" operator="containsText" text="Functioning">
      <formula>NOT(ISERROR(SEARCH("Functioning",H231)))</formula>
    </cfRule>
  </conditionalFormatting>
  <conditionalFormatting sqref="H294 H275:H276 H273 H269:H271">
    <cfRule type="beginsWith" dxfId="518" priority="481" stopIfTrue="1" operator="beginsWith" text="Functioning At Risk">
      <formula>LEFT(H269,LEN("Functioning At Risk"))="Functioning At Risk"</formula>
    </cfRule>
    <cfRule type="beginsWith" dxfId="517" priority="482" stopIfTrue="1" operator="beginsWith" text="Not Functioning">
      <formula>LEFT(H269,LEN("Not Functioning"))="Not Functioning"</formula>
    </cfRule>
    <cfRule type="containsText" dxfId="516" priority="483" operator="containsText" text="Functioning">
      <formula>NOT(ISERROR(SEARCH("Functioning",H269)))</formula>
    </cfRule>
  </conditionalFormatting>
  <conditionalFormatting sqref="H332 H313:H314 H311 H307:H309">
    <cfRule type="beginsWith" dxfId="515" priority="478" stopIfTrue="1" operator="beginsWith" text="Functioning At Risk">
      <formula>LEFT(H307,LEN("Functioning At Risk"))="Functioning At Risk"</formula>
    </cfRule>
    <cfRule type="beginsWith" dxfId="514" priority="479" stopIfTrue="1" operator="beginsWith" text="Not Functioning">
      <formula>LEFT(H307,LEN("Not Functioning"))="Not Functioning"</formula>
    </cfRule>
    <cfRule type="containsText" dxfId="513" priority="480" operator="containsText" text="Functioning">
      <formula>NOT(ISERROR(SEARCH("Functioning",H307)))</formula>
    </cfRule>
  </conditionalFormatting>
  <conditionalFormatting sqref="H370 H351:H352 H349 H345:H347">
    <cfRule type="beginsWith" dxfId="512" priority="475" stopIfTrue="1" operator="beginsWith" text="Functioning At Risk">
      <formula>LEFT(H345,LEN("Functioning At Risk"))="Functioning At Risk"</formula>
    </cfRule>
    <cfRule type="beginsWith" dxfId="511" priority="476" stopIfTrue="1" operator="beginsWith" text="Not Functioning">
      <formula>LEFT(H345,LEN("Not Functioning"))="Not Functioning"</formula>
    </cfRule>
    <cfRule type="containsText" dxfId="510" priority="477" operator="containsText" text="Functioning">
      <formula>NOT(ISERROR(SEARCH("Functioning",H345)))</formula>
    </cfRule>
  </conditionalFormatting>
  <conditionalFormatting sqref="H408 H389:H390 H387 H383:H385">
    <cfRule type="beginsWith" dxfId="509" priority="472" stopIfTrue="1" operator="beginsWith" text="Functioning At Risk">
      <formula>LEFT(H383,LEN("Functioning At Risk"))="Functioning At Risk"</formula>
    </cfRule>
    <cfRule type="beginsWith" dxfId="508" priority="473" stopIfTrue="1" operator="beginsWith" text="Not Functioning">
      <formula>LEFT(H383,LEN("Not Functioning"))="Not Functioning"</formula>
    </cfRule>
    <cfRule type="containsText" dxfId="507" priority="474" operator="containsText" text="Functioning">
      <formula>NOT(ISERROR(SEARCH("Functioning",H383)))</formula>
    </cfRule>
  </conditionalFormatting>
  <conditionalFormatting sqref="J3:J5">
    <cfRule type="beginsWith" dxfId="506" priority="469" stopIfTrue="1" operator="beginsWith" text="Functioning At Risk">
      <formula>LEFT(J3,LEN("Functioning At Risk"))="Functioning At Risk"</formula>
    </cfRule>
    <cfRule type="beginsWith" dxfId="505" priority="470" stopIfTrue="1" operator="beginsWith" text="Not Functioning">
      <formula>LEFT(J3,LEN("Not Functioning"))="Not Functioning"</formula>
    </cfRule>
    <cfRule type="containsText" dxfId="504" priority="471" operator="containsText" text="Functioning">
      <formula>NOT(ISERROR(SEARCH("Functioning",J3)))</formula>
    </cfRule>
  </conditionalFormatting>
  <conditionalFormatting sqref="J41:J43">
    <cfRule type="beginsWith" dxfId="503" priority="466" stopIfTrue="1" operator="beginsWith" text="Functioning At Risk">
      <formula>LEFT(J41,LEN("Functioning At Risk"))="Functioning At Risk"</formula>
    </cfRule>
    <cfRule type="beginsWith" dxfId="502" priority="467" stopIfTrue="1" operator="beginsWith" text="Not Functioning">
      <formula>LEFT(J41,LEN("Not Functioning"))="Not Functioning"</formula>
    </cfRule>
    <cfRule type="containsText" dxfId="501" priority="468" operator="containsText" text="Functioning">
      <formula>NOT(ISERROR(SEARCH("Functioning",J41)))</formula>
    </cfRule>
  </conditionalFormatting>
  <conditionalFormatting sqref="J79:J81">
    <cfRule type="beginsWith" dxfId="500" priority="463" stopIfTrue="1" operator="beginsWith" text="Functioning At Risk">
      <formula>LEFT(J79,LEN("Functioning At Risk"))="Functioning At Risk"</formula>
    </cfRule>
    <cfRule type="beginsWith" dxfId="499" priority="464" stopIfTrue="1" operator="beginsWith" text="Not Functioning">
      <formula>LEFT(J79,LEN("Not Functioning"))="Not Functioning"</formula>
    </cfRule>
    <cfRule type="containsText" dxfId="498" priority="465" operator="containsText" text="Functioning">
      <formula>NOT(ISERROR(SEARCH("Functioning",J79)))</formula>
    </cfRule>
  </conditionalFormatting>
  <conditionalFormatting sqref="J117:J119">
    <cfRule type="beginsWith" dxfId="497" priority="460" stopIfTrue="1" operator="beginsWith" text="Functioning At Risk">
      <formula>LEFT(J117,LEN("Functioning At Risk"))="Functioning At Risk"</formula>
    </cfRule>
    <cfRule type="beginsWith" dxfId="496" priority="461" stopIfTrue="1" operator="beginsWith" text="Not Functioning">
      <formula>LEFT(J117,LEN("Not Functioning"))="Not Functioning"</formula>
    </cfRule>
    <cfRule type="containsText" dxfId="495" priority="462" operator="containsText" text="Functioning">
      <formula>NOT(ISERROR(SEARCH("Functioning",J117)))</formula>
    </cfRule>
  </conditionalFormatting>
  <conditionalFormatting sqref="J155:J157">
    <cfRule type="beginsWith" dxfId="494" priority="457" stopIfTrue="1" operator="beginsWith" text="Functioning At Risk">
      <formula>LEFT(J155,LEN("Functioning At Risk"))="Functioning At Risk"</formula>
    </cfRule>
    <cfRule type="beginsWith" dxfId="493" priority="458" stopIfTrue="1" operator="beginsWith" text="Not Functioning">
      <formula>LEFT(J155,LEN("Not Functioning"))="Not Functioning"</formula>
    </cfRule>
    <cfRule type="containsText" dxfId="492" priority="459" operator="containsText" text="Functioning">
      <formula>NOT(ISERROR(SEARCH("Functioning",J155)))</formula>
    </cfRule>
  </conditionalFormatting>
  <conditionalFormatting sqref="J193:J195">
    <cfRule type="beginsWith" dxfId="491" priority="454" stopIfTrue="1" operator="beginsWith" text="Functioning At Risk">
      <formula>LEFT(J193,LEN("Functioning At Risk"))="Functioning At Risk"</formula>
    </cfRule>
    <cfRule type="beginsWith" dxfId="490" priority="455" stopIfTrue="1" operator="beginsWith" text="Not Functioning">
      <formula>LEFT(J193,LEN("Not Functioning"))="Not Functioning"</formula>
    </cfRule>
    <cfRule type="containsText" dxfId="489" priority="456" operator="containsText" text="Functioning">
      <formula>NOT(ISERROR(SEARCH("Functioning",J193)))</formula>
    </cfRule>
  </conditionalFormatting>
  <conditionalFormatting sqref="J231:J233">
    <cfRule type="beginsWith" dxfId="488" priority="451" stopIfTrue="1" operator="beginsWith" text="Functioning At Risk">
      <formula>LEFT(J231,LEN("Functioning At Risk"))="Functioning At Risk"</formula>
    </cfRule>
    <cfRule type="beginsWith" dxfId="487" priority="452" stopIfTrue="1" operator="beginsWith" text="Not Functioning">
      <formula>LEFT(J231,LEN("Not Functioning"))="Not Functioning"</formula>
    </cfRule>
    <cfRule type="containsText" dxfId="486" priority="453" operator="containsText" text="Functioning">
      <formula>NOT(ISERROR(SEARCH("Functioning",J231)))</formula>
    </cfRule>
  </conditionalFormatting>
  <conditionalFormatting sqref="J269:J271">
    <cfRule type="beginsWith" dxfId="485" priority="448" stopIfTrue="1" operator="beginsWith" text="Functioning At Risk">
      <formula>LEFT(J269,LEN("Functioning At Risk"))="Functioning At Risk"</formula>
    </cfRule>
    <cfRule type="beginsWith" dxfId="484" priority="449" stopIfTrue="1" operator="beginsWith" text="Not Functioning">
      <formula>LEFT(J269,LEN("Not Functioning"))="Not Functioning"</formula>
    </cfRule>
    <cfRule type="containsText" dxfId="483" priority="450" operator="containsText" text="Functioning">
      <formula>NOT(ISERROR(SEARCH("Functioning",J269)))</formula>
    </cfRule>
  </conditionalFormatting>
  <conditionalFormatting sqref="J307:J309">
    <cfRule type="beginsWith" dxfId="482" priority="445" stopIfTrue="1" operator="beginsWith" text="Functioning At Risk">
      <formula>LEFT(J307,LEN("Functioning At Risk"))="Functioning At Risk"</formula>
    </cfRule>
    <cfRule type="beginsWith" dxfId="481" priority="446" stopIfTrue="1" operator="beginsWith" text="Not Functioning">
      <formula>LEFT(J307,LEN("Not Functioning"))="Not Functioning"</formula>
    </cfRule>
    <cfRule type="containsText" dxfId="480" priority="447" operator="containsText" text="Functioning">
      <formula>NOT(ISERROR(SEARCH("Functioning",J307)))</formula>
    </cfRule>
  </conditionalFormatting>
  <conditionalFormatting sqref="J345:J347">
    <cfRule type="beginsWith" dxfId="479" priority="442" stopIfTrue="1" operator="beginsWith" text="Functioning At Risk">
      <formula>LEFT(J345,LEN("Functioning At Risk"))="Functioning At Risk"</formula>
    </cfRule>
    <cfRule type="beginsWith" dxfId="478" priority="443" stopIfTrue="1" operator="beginsWith" text="Not Functioning">
      <formula>LEFT(J345,LEN("Not Functioning"))="Not Functioning"</formula>
    </cfRule>
    <cfRule type="containsText" dxfId="477" priority="444" operator="containsText" text="Functioning">
      <formula>NOT(ISERROR(SEARCH("Functioning",J345)))</formula>
    </cfRule>
  </conditionalFormatting>
  <conditionalFormatting sqref="J383:J385">
    <cfRule type="beginsWith" dxfId="476" priority="439" stopIfTrue="1" operator="beginsWith" text="Functioning At Risk">
      <formula>LEFT(J383,LEN("Functioning At Risk"))="Functioning At Risk"</formula>
    </cfRule>
    <cfRule type="beginsWith" dxfId="475" priority="440" stopIfTrue="1" operator="beginsWith" text="Not Functioning">
      <formula>LEFT(J383,LEN("Not Functioning"))="Not Functioning"</formula>
    </cfRule>
    <cfRule type="containsText" dxfId="474" priority="441" operator="containsText" text="Functioning">
      <formula>NOT(ISERROR(SEARCH("Functioning",J383)))</formula>
    </cfRule>
  </conditionalFormatting>
  <conditionalFormatting sqref="C26">
    <cfRule type="beginsWith" dxfId="473" priority="436" stopIfTrue="1" operator="beginsWith" text="Functioning At Risk">
      <formula>LEFT(C26,LEN("Functioning At Risk"))="Functioning At Risk"</formula>
    </cfRule>
    <cfRule type="beginsWith" dxfId="472" priority="437" stopIfTrue="1" operator="beginsWith" text="Not Functioning">
      <formula>LEFT(C26,LEN("Not Functioning"))="Not Functioning"</formula>
    </cfRule>
    <cfRule type="containsText" dxfId="471" priority="438" operator="containsText" text="Functioning">
      <formula>NOT(ISERROR(SEARCH("Functioning",C26)))</formula>
    </cfRule>
  </conditionalFormatting>
  <conditionalFormatting sqref="C64">
    <cfRule type="beginsWith" dxfId="470" priority="433" stopIfTrue="1" operator="beginsWith" text="Functioning At Risk">
      <formula>LEFT(C64,LEN("Functioning At Risk"))="Functioning At Risk"</formula>
    </cfRule>
    <cfRule type="beginsWith" dxfId="469" priority="434" stopIfTrue="1" operator="beginsWith" text="Not Functioning">
      <formula>LEFT(C64,LEN("Not Functioning"))="Not Functioning"</formula>
    </cfRule>
    <cfRule type="containsText" dxfId="468" priority="435" operator="containsText" text="Functioning">
      <formula>NOT(ISERROR(SEARCH("Functioning",C64)))</formula>
    </cfRule>
  </conditionalFormatting>
  <conditionalFormatting sqref="C102">
    <cfRule type="beginsWith" dxfId="467" priority="430" stopIfTrue="1" operator="beginsWith" text="Functioning At Risk">
      <formula>LEFT(C102,LEN("Functioning At Risk"))="Functioning At Risk"</formula>
    </cfRule>
    <cfRule type="beginsWith" dxfId="466" priority="431" stopIfTrue="1" operator="beginsWith" text="Not Functioning">
      <formula>LEFT(C102,LEN("Not Functioning"))="Not Functioning"</formula>
    </cfRule>
    <cfRule type="containsText" dxfId="465" priority="432" operator="containsText" text="Functioning">
      <formula>NOT(ISERROR(SEARCH("Functioning",C102)))</formula>
    </cfRule>
  </conditionalFormatting>
  <conditionalFormatting sqref="C140">
    <cfRule type="beginsWith" dxfId="464" priority="427" stopIfTrue="1" operator="beginsWith" text="Functioning At Risk">
      <formula>LEFT(C140,LEN("Functioning At Risk"))="Functioning At Risk"</formula>
    </cfRule>
    <cfRule type="beginsWith" dxfId="463" priority="428" stopIfTrue="1" operator="beginsWith" text="Not Functioning">
      <formula>LEFT(C140,LEN("Not Functioning"))="Not Functioning"</formula>
    </cfRule>
    <cfRule type="containsText" dxfId="462" priority="429" operator="containsText" text="Functioning">
      <formula>NOT(ISERROR(SEARCH("Functioning",C140)))</formula>
    </cfRule>
  </conditionalFormatting>
  <conditionalFormatting sqref="C178">
    <cfRule type="beginsWith" dxfId="461" priority="424" stopIfTrue="1" operator="beginsWith" text="Functioning At Risk">
      <formula>LEFT(C178,LEN("Functioning At Risk"))="Functioning At Risk"</formula>
    </cfRule>
    <cfRule type="beginsWith" dxfId="460" priority="425" stopIfTrue="1" operator="beginsWith" text="Not Functioning">
      <formula>LEFT(C178,LEN("Not Functioning"))="Not Functioning"</formula>
    </cfRule>
    <cfRule type="containsText" dxfId="459" priority="426" operator="containsText" text="Functioning">
      <formula>NOT(ISERROR(SEARCH("Functioning",C178)))</formula>
    </cfRule>
  </conditionalFormatting>
  <conditionalFormatting sqref="C216">
    <cfRule type="beginsWith" dxfId="458" priority="421" stopIfTrue="1" operator="beginsWith" text="Functioning At Risk">
      <formula>LEFT(C216,LEN("Functioning At Risk"))="Functioning At Risk"</formula>
    </cfRule>
    <cfRule type="beginsWith" dxfId="457" priority="422" stopIfTrue="1" operator="beginsWith" text="Not Functioning">
      <formula>LEFT(C216,LEN("Not Functioning"))="Not Functioning"</formula>
    </cfRule>
    <cfRule type="containsText" dxfId="456" priority="423" operator="containsText" text="Functioning">
      <formula>NOT(ISERROR(SEARCH("Functioning",C216)))</formula>
    </cfRule>
  </conditionalFormatting>
  <conditionalFormatting sqref="C254">
    <cfRule type="beginsWith" dxfId="455" priority="418" stopIfTrue="1" operator="beginsWith" text="Functioning At Risk">
      <formula>LEFT(C254,LEN("Functioning At Risk"))="Functioning At Risk"</formula>
    </cfRule>
    <cfRule type="beginsWith" dxfId="454" priority="419" stopIfTrue="1" operator="beginsWith" text="Not Functioning">
      <formula>LEFT(C254,LEN("Not Functioning"))="Not Functioning"</formula>
    </cfRule>
    <cfRule type="containsText" dxfId="453" priority="420" operator="containsText" text="Functioning">
      <formula>NOT(ISERROR(SEARCH("Functioning",C254)))</formula>
    </cfRule>
  </conditionalFormatting>
  <conditionalFormatting sqref="C292">
    <cfRule type="beginsWith" dxfId="452" priority="415" stopIfTrue="1" operator="beginsWith" text="Functioning At Risk">
      <formula>LEFT(C292,LEN("Functioning At Risk"))="Functioning At Risk"</formula>
    </cfRule>
    <cfRule type="beginsWith" dxfId="451" priority="416" stopIfTrue="1" operator="beginsWith" text="Not Functioning">
      <formula>LEFT(C292,LEN("Not Functioning"))="Not Functioning"</formula>
    </cfRule>
    <cfRule type="containsText" dxfId="450" priority="417" operator="containsText" text="Functioning">
      <formula>NOT(ISERROR(SEARCH("Functioning",C292)))</formula>
    </cfRule>
  </conditionalFormatting>
  <conditionalFormatting sqref="C330">
    <cfRule type="beginsWith" dxfId="449" priority="412" stopIfTrue="1" operator="beginsWith" text="Functioning At Risk">
      <formula>LEFT(C330,LEN("Functioning At Risk"))="Functioning At Risk"</formula>
    </cfRule>
    <cfRule type="beginsWith" dxfId="448" priority="413" stopIfTrue="1" operator="beginsWith" text="Not Functioning">
      <formula>LEFT(C330,LEN("Not Functioning"))="Not Functioning"</formula>
    </cfRule>
    <cfRule type="containsText" dxfId="447" priority="414" operator="containsText" text="Functioning">
      <formula>NOT(ISERROR(SEARCH("Functioning",C330)))</formula>
    </cfRule>
  </conditionalFormatting>
  <conditionalFormatting sqref="C368">
    <cfRule type="beginsWith" dxfId="446" priority="409" stopIfTrue="1" operator="beginsWith" text="Functioning At Risk">
      <formula>LEFT(C368,LEN("Functioning At Risk"))="Functioning At Risk"</formula>
    </cfRule>
    <cfRule type="beginsWith" dxfId="445" priority="410" stopIfTrue="1" operator="beginsWith" text="Not Functioning">
      <formula>LEFT(C368,LEN("Not Functioning"))="Not Functioning"</formula>
    </cfRule>
    <cfRule type="containsText" dxfId="444" priority="411" operator="containsText" text="Functioning">
      <formula>NOT(ISERROR(SEARCH("Functioning",C368)))</formula>
    </cfRule>
  </conditionalFormatting>
  <conditionalFormatting sqref="C406">
    <cfRule type="beginsWith" dxfId="443" priority="406" stopIfTrue="1" operator="beginsWith" text="Functioning At Risk">
      <formula>LEFT(C406,LEN("Functioning At Risk"))="Functioning At Risk"</formula>
    </cfRule>
    <cfRule type="beginsWith" dxfId="442" priority="407" stopIfTrue="1" operator="beginsWith" text="Not Functioning">
      <formula>LEFT(C406,LEN("Not Functioning"))="Not Functioning"</formula>
    </cfRule>
    <cfRule type="containsText" dxfId="441" priority="408" operator="containsText" text="Functioning">
      <formula>NOT(ISERROR(SEARCH("Functioning",C406)))</formula>
    </cfRule>
  </conditionalFormatting>
  <conditionalFormatting sqref="C9:D10 F9:F10">
    <cfRule type="beginsWith" dxfId="440" priority="403" stopIfTrue="1" operator="beginsWith" text="Functioning At Risk">
      <formula>LEFT(C9,LEN("Functioning At Risk"))="Functioning At Risk"</formula>
    </cfRule>
    <cfRule type="beginsWith" dxfId="439" priority="404" stopIfTrue="1" operator="beginsWith" text="Not Functioning">
      <formula>LEFT(C9,LEN("Not Functioning"))="Not Functioning"</formula>
    </cfRule>
    <cfRule type="containsText" dxfId="438" priority="405" operator="containsText" text="Functioning">
      <formula>NOT(ISERROR(SEARCH("Functioning",C9)))</formula>
    </cfRule>
  </conditionalFormatting>
  <conditionalFormatting sqref="E9:E10">
    <cfRule type="beginsWith" dxfId="437" priority="400" stopIfTrue="1" operator="beginsWith" text="Functioning At Risk">
      <formula>LEFT(E9,LEN("Functioning At Risk"))="Functioning At Risk"</formula>
    </cfRule>
    <cfRule type="beginsWith" dxfId="436" priority="401" stopIfTrue="1" operator="beginsWith" text="Not Functioning">
      <formula>LEFT(E9,LEN("Not Functioning"))="Not Functioning"</formula>
    </cfRule>
    <cfRule type="containsText" dxfId="435" priority="402" operator="containsText" text="Functioning">
      <formula>NOT(ISERROR(SEARCH("Functioning",E9)))</formula>
    </cfRule>
  </conditionalFormatting>
  <conditionalFormatting sqref="B47">
    <cfRule type="beginsWith" dxfId="434" priority="397" stopIfTrue="1" operator="beginsWith" text="Functioning At Risk">
      <formula>LEFT(B47,LEN("Functioning At Risk"))="Functioning At Risk"</formula>
    </cfRule>
    <cfRule type="beginsWith" dxfId="433" priority="398" stopIfTrue="1" operator="beginsWith" text="Not Functioning">
      <formula>LEFT(B47,LEN("Not Functioning"))="Not Functioning"</formula>
    </cfRule>
    <cfRule type="containsText" dxfId="432" priority="399" operator="containsText" text="Functioning">
      <formula>NOT(ISERROR(SEARCH("Functioning",B47)))</formula>
    </cfRule>
  </conditionalFormatting>
  <conditionalFormatting sqref="C47:D48 F47:F48">
    <cfRule type="beginsWith" dxfId="431" priority="394" stopIfTrue="1" operator="beginsWith" text="Functioning At Risk">
      <formula>LEFT(C47,LEN("Functioning At Risk"))="Functioning At Risk"</formula>
    </cfRule>
    <cfRule type="beginsWith" dxfId="430" priority="395" stopIfTrue="1" operator="beginsWith" text="Not Functioning">
      <formula>LEFT(C47,LEN("Not Functioning"))="Not Functioning"</formula>
    </cfRule>
    <cfRule type="containsText" dxfId="429" priority="396" operator="containsText" text="Functioning">
      <formula>NOT(ISERROR(SEARCH("Functioning",C47)))</formula>
    </cfRule>
  </conditionalFormatting>
  <conditionalFormatting sqref="E47:E48">
    <cfRule type="beginsWith" dxfId="428" priority="391" stopIfTrue="1" operator="beginsWith" text="Functioning At Risk">
      <formula>LEFT(E47,LEN("Functioning At Risk"))="Functioning At Risk"</formula>
    </cfRule>
    <cfRule type="beginsWith" dxfId="427" priority="392" stopIfTrue="1" operator="beginsWith" text="Not Functioning">
      <formula>LEFT(E47,LEN("Not Functioning"))="Not Functioning"</formula>
    </cfRule>
    <cfRule type="containsText" dxfId="426" priority="393" operator="containsText" text="Functioning">
      <formula>NOT(ISERROR(SEARCH("Functioning",E47)))</formula>
    </cfRule>
  </conditionalFormatting>
  <conditionalFormatting sqref="B85">
    <cfRule type="beginsWith" dxfId="425" priority="388" stopIfTrue="1" operator="beginsWith" text="Functioning At Risk">
      <formula>LEFT(B85,LEN("Functioning At Risk"))="Functioning At Risk"</formula>
    </cfRule>
    <cfRule type="beginsWith" dxfId="424" priority="389" stopIfTrue="1" operator="beginsWith" text="Not Functioning">
      <formula>LEFT(B85,LEN("Not Functioning"))="Not Functioning"</formula>
    </cfRule>
    <cfRule type="containsText" dxfId="423" priority="390" operator="containsText" text="Functioning">
      <formula>NOT(ISERROR(SEARCH("Functioning",B85)))</formula>
    </cfRule>
  </conditionalFormatting>
  <conditionalFormatting sqref="C85:D86 F85:F86">
    <cfRule type="beginsWith" dxfId="422" priority="385" stopIfTrue="1" operator="beginsWith" text="Functioning At Risk">
      <formula>LEFT(C85,LEN("Functioning At Risk"))="Functioning At Risk"</formula>
    </cfRule>
    <cfRule type="beginsWith" dxfId="421" priority="386" stopIfTrue="1" operator="beginsWith" text="Not Functioning">
      <formula>LEFT(C85,LEN("Not Functioning"))="Not Functioning"</formula>
    </cfRule>
    <cfRule type="containsText" dxfId="420" priority="387" operator="containsText" text="Functioning">
      <formula>NOT(ISERROR(SEARCH("Functioning",C85)))</formula>
    </cfRule>
  </conditionalFormatting>
  <conditionalFormatting sqref="E85:E86">
    <cfRule type="beginsWith" dxfId="419" priority="382" stopIfTrue="1" operator="beginsWith" text="Functioning At Risk">
      <formula>LEFT(E85,LEN("Functioning At Risk"))="Functioning At Risk"</formula>
    </cfRule>
    <cfRule type="beginsWith" dxfId="418" priority="383" stopIfTrue="1" operator="beginsWith" text="Not Functioning">
      <formula>LEFT(E85,LEN("Not Functioning"))="Not Functioning"</formula>
    </cfRule>
    <cfRule type="containsText" dxfId="417" priority="384" operator="containsText" text="Functioning">
      <formula>NOT(ISERROR(SEARCH("Functioning",E85)))</formula>
    </cfRule>
  </conditionalFormatting>
  <conditionalFormatting sqref="B123">
    <cfRule type="beginsWith" dxfId="416" priority="379" stopIfTrue="1" operator="beginsWith" text="Functioning At Risk">
      <formula>LEFT(B123,LEN("Functioning At Risk"))="Functioning At Risk"</formula>
    </cfRule>
    <cfRule type="beginsWith" dxfId="415" priority="380" stopIfTrue="1" operator="beginsWith" text="Not Functioning">
      <formula>LEFT(B123,LEN("Not Functioning"))="Not Functioning"</formula>
    </cfRule>
    <cfRule type="containsText" dxfId="414" priority="381" operator="containsText" text="Functioning">
      <formula>NOT(ISERROR(SEARCH("Functioning",B123)))</formula>
    </cfRule>
  </conditionalFormatting>
  <conditionalFormatting sqref="C123:D124 F123:F124">
    <cfRule type="beginsWith" dxfId="413" priority="376" stopIfTrue="1" operator="beginsWith" text="Functioning At Risk">
      <formula>LEFT(C123,LEN("Functioning At Risk"))="Functioning At Risk"</formula>
    </cfRule>
    <cfRule type="beginsWith" dxfId="412" priority="377" stopIfTrue="1" operator="beginsWith" text="Not Functioning">
      <formula>LEFT(C123,LEN("Not Functioning"))="Not Functioning"</formula>
    </cfRule>
    <cfRule type="containsText" dxfId="411" priority="378" operator="containsText" text="Functioning">
      <formula>NOT(ISERROR(SEARCH("Functioning",C123)))</formula>
    </cfRule>
  </conditionalFormatting>
  <conditionalFormatting sqref="E123:E124">
    <cfRule type="beginsWith" dxfId="410" priority="373" stopIfTrue="1" operator="beginsWith" text="Functioning At Risk">
      <formula>LEFT(E123,LEN("Functioning At Risk"))="Functioning At Risk"</formula>
    </cfRule>
    <cfRule type="beginsWith" dxfId="409" priority="374" stopIfTrue="1" operator="beginsWith" text="Not Functioning">
      <formula>LEFT(E123,LEN("Not Functioning"))="Not Functioning"</formula>
    </cfRule>
    <cfRule type="containsText" dxfId="408" priority="375" operator="containsText" text="Functioning">
      <formula>NOT(ISERROR(SEARCH("Functioning",E123)))</formula>
    </cfRule>
  </conditionalFormatting>
  <conditionalFormatting sqref="B161">
    <cfRule type="beginsWith" dxfId="407" priority="370" stopIfTrue="1" operator="beginsWith" text="Functioning At Risk">
      <formula>LEFT(B161,LEN("Functioning At Risk"))="Functioning At Risk"</formula>
    </cfRule>
    <cfRule type="beginsWith" dxfId="406" priority="371" stopIfTrue="1" operator="beginsWith" text="Not Functioning">
      <formula>LEFT(B161,LEN("Not Functioning"))="Not Functioning"</formula>
    </cfRule>
    <cfRule type="containsText" dxfId="405" priority="372" operator="containsText" text="Functioning">
      <formula>NOT(ISERROR(SEARCH("Functioning",B161)))</formula>
    </cfRule>
  </conditionalFormatting>
  <conditionalFormatting sqref="C161:D162 F161:F162">
    <cfRule type="beginsWith" dxfId="404" priority="367" stopIfTrue="1" operator="beginsWith" text="Functioning At Risk">
      <formula>LEFT(C161,LEN("Functioning At Risk"))="Functioning At Risk"</formula>
    </cfRule>
    <cfRule type="beginsWith" dxfId="403" priority="368" stopIfTrue="1" operator="beginsWith" text="Not Functioning">
      <formula>LEFT(C161,LEN("Not Functioning"))="Not Functioning"</formula>
    </cfRule>
    <cfRule type="containsText" dxfId="402" priority="369" operator="containsText" text="Functioning">
      <formula>NOT(ISERROR(SEARCH("Functioning",C161)))</formula>
    </cfRule>
  </conditionalFormatting>
  <conditionalFormatting sqref="E161:E162">
    <cfRule type="beginsWith" dxfId="401" priority="364" stopIfTrue="1" operator="beginsWith" text="Functioning At Risk">
      <formula>LEFT(E161,LEN("Functioning At Risk"))="Functioning At Risk"</formula>
    </cfRule>
    <cfRule type="beginsWith" dxfId="400" priority="365" stopIfTrue="1" operator="beginsWith" text="Not Functioning">
      <formula>LEFT(E161,LEN("Not Functioning"))="Not Functioning"</formula>
    </cfRule>
    <cfRule type="containsText" dxfId="399" priority="366" operator="containsText" text="Functioning">
      <formula>NOT(ISERROR(SEARCH("Functioning",E161)))</formula>
    </cfRule>
  </conditionalFormatting>
  <conditionalFormatting sqref="B199">
    <cfRule type="beginsWith" dxfId="398" priority="361" stopIfTrue="1" operator="beginsWith" text="Functioning At Risk">
      <formula>LEFT(B199,LEN("Functioning At Risk"))="Functioning At Risk"</formula>
    </cfRule>
    <cfRule type="beginsWith" dxfId="397" priority="362" stopIfTrue="1" operator="beginsWith" text="Not Functioning">
      <formula>LEFT(B199,LEN("Not Functioning"))="Not Functioning"</formula>
    </cfRule>
    <cfRule type="containsText" dxfId="396" priority="363" operator="containsText" text="Functioning">
      <formula>NOT(ISERROR(SEARCH("Functioning",B199)))</formula>
    </cfRule>
  </conditionalFormatting>
  <conditionalFormatting sqref="C199:D200 F199:F200">
    <cfRule type="beginsWith" dxfId="395" priority="358" stopIfTrue="1" operator="beginsWith" text="Functioning At Risk">
      <formula>LEFT(C199,LEN("Functioning At Risk"))="Functioning At Risk"</formula>
    </cfRule>
    <cfRule type="beginsWith" dxfId="394" priority="359" stopIfTrue="1" operator="beginsWith" text="Not Functioning">
      <formula>LEFT(C199,LEN("Not Functioning"))="Not Functioning"</formula>
    </cfRule>
    <cfRule type="containsText" dxfId="393" priority="360" operator="containsText" text="Functioning">
      <formula>NOT(ISERROR(SEARCH("Functioning",C199)))</formula>
    </cfRule>
  </conditionalFormatting>
  <conditionalFormatting sqref="E199:E200">
    <cfRule type="beginsWith" dxfId="392" priority="355" stopIfTrue="1" operator="beginsWith" text="Functioning At Risk">
      <formula>LEFT(E199,LEN("Functioning At Risk"))="Functioning At Risk"</formula>
    </cfRule>
    <cfRule type="beginsWith" dxfId="391" priority="356" stopIfTrue="1" operator="beginsWith" text="Not Functioning">
      <formula>LEFT(E199,LEN("Not Functioning"))="Not Functioning"</formula>
    </cfRule>
    <cfRule type="containsText" dxfId="390" priority="357" operator="containsText" text="Functioning">
      <formula>NOT(ISERROR(SEARCH("Functioning",E199)))</formula>
    </cfRule>
  </conditionalFormatting>
  <conditionalFormatting sqref="B237">
    <cfRule type="beginsWith" dxfId="389" priority="352" stopIfTrue="1" operator="beginsWith" text="Functioning At Risk">
      <formula>LEFT(B237,LEN("Functioning At Risk"))="Functioning At Risk"</formula>
    </cfRule>
    <cfRule type="beginsWith" dxfId="388" priority="353" stopIfTrue="1" operator="beginsWith" text="Not Functioning">
      <formula>LEFT(B237,LEN("Not Functioning"))="Not Functioning"</formula>
    </cfRule>
    <cfRule type="containsText" dxfId="387" priority="354" operator="containsText" text="Functioning">
      <formula>NOT(ISERROR(SEARCH("Functioning",B237)))</formula>
    </cfRule>
  </conditionalFormatting>
  <conditionalFormatting sqref="C237:D238 F237:F238">
    <cfRule type="beginsWith" dxfId="386" priority="349" stopIfTrue="1" operator="beginsWith" text="Functioning At Risk">
      <formula>LEFT(C237,LEN("Functioning At Risk"))="Functioning At Risk"</formula>
    </cfRule>
    <cfRule type="beginsWith" dxfId="385" priority="350" stopIfTrue="1" operator="beginsWith" text="Not Functioning">
      <formula>LEFT(C237,LEN("Not Functioning"))="Not Functioning"</formula>
    </cfRule>
    <cfRule type="containsText" dxfId="384" priority="351" operator="containsText" text="Functioning">
      <formula>NOT(ISERROR(SEARCH("Functioning",C237)))</formula>
    </cfRule>
  </conditionalFormatting>
  <conditionalFormatting sqref="E237:E238">
    <cfRule type="beginsWith" dxfId="383" priority="346" stopIfTrue="1" operator="beginsWith" text="Functioning At Risk">
      <formula>LEFT(E237,LEN("Functioning At Risk"))="Functioning At Risk"</formula>
    </cfRule>
    <cfRule type="beginsWith" dxfId="382" priority="347" stopIfTrue="1" operator="beginsWith" text="Not Functioning">
      <formula>LEFT(E237,LEN("Not Functioning"))="Not Functioning"</formula>
    </cfRule>
    <cfRule type="containsText" dxfId="381" priority="348" operator="containsText" text="Functioning">
      <formula>NOT(ISERROR(SEARCH("Functioning",E237)))</formula>
    </cfRule>
  </conditionalFormatting>
  <conditionalFormatting sqref="B275">
    <cfRule type="beginsWith" dxfId="380" priority="343" stopIfTrue="1" operator="beginsWith" text="Functioning At Risk">
      <formula>LEFT(B275,LEN("Functioning At Risk"))="Functioning At Risk"</formula>
    </cfRule>
    <cfRule type="beginsWith" dxfId="379" priority="344" stopIfTrue="1" operator="beginsWith" text="Not Functioning">
      <formula>LEFT(B275,LEN("Not Functioning"))="Not Functioning"</formula>
    </cfRule>
    <cfRule type="containsText" dxfId="378" priority="345" operator="containsText" text="Functioning">
      <formula>NOT(ISERROR(SEARCH("Functioning",B275)))</formula>
    </cfRule>
  </conditionalFormatting>
  <conditionalFormatting sqref="C275:D276 F275:F276">
    <cfRule type="beginsWith" dxfId="377" priority="340" stopIfTrue="1" operator="beginsWith" text="Functioning At Risk">
      <formula>LEFT(C275,LEN("Functioning At Risk"))="Functioning At Risk"</formula>
    </cfRule>
    <cfRule type="beginsWith" dxfId="376" priority="341" stopIfTrue="1" operator="beginsWith" text="Not Functioning">
      <formula>LEFT(C275,LEN("Not Functioning"))="Not Functioning"</formula>
    </cfRule>
    <cfRule type="containsText" dxfId="375" priority="342" operator="containsText" text="Functioning">
      <formula>NOT(ISERROR(SEARCH("Functioning",C275)))</formula>
    </cfRule>
  </conditionalFormatting>
  <conditionalFormatting sqref="E275:E276">
    <cfRule type="beginsWith" dxfId="374" priority="337" stopIfTrue="1" operator="beginsWith" text="Functioning At Risk">
      <formula>LEFT(E275,LEN("Functioning At Risk"))="Functioning At Risk"</formula>
    </cfRule>
    <cfRule type="beginsWith" dxfId="373" priority="338" stopIfTrue="1" operator="beginsWith" text="Not Functioning">
      <formula>LEFT(E275,LEN("Not Functioning"))="Not Functioning"</formula>
    </cfRule>
    <cfRule type="containsText" dxfId="372" priority="339" operator="containsText" text="Functioning">
      <formula>NOT(ISERROR(SEARCH("Functioning",E275)))</formula>
    </cfRule>
  </conditionalFormatting>
  <conditionalFormatting sqref="B313">
    <cfRule type="beginsWith" dxfId="371" priority="334" stopIfTrue="1" operator="beginsWith" text="Functioning At Risk">
      <formula>LEFT(B313,LEN("Functioning At Risk"))="Functioning At Risk"</formula>
    </cfRule>
    <cfRule type="beginsWith" dxfId="370" priority="335" stopIfTrue="1" operator="beginsWith" text="Not Functioning">
      <formula>LEFT(B313,LEN("Not Functioning"))="Not Functioning"</formula>
    </cfRule>
    <cfRule type="containsText" dxfId="369" priority="336" operator="containsText" text="Functioning">
      <formula>NOT(ISERROR(SEARCH("Functioning",B313)))</formula>
    </cfRule>
  </conditionalFormatting>
  <conditionalFormatting sqref="C313:D314 F313:F314">
    <cfRule type="beginsWith" dxfId="368" priority="331" stopIfTrue="1" operator="beginsWith" text="Functioning At Risk">
      <formula>LEFT(C313,LEN("Functioning At Risk"))="Functioning At Risk"</formula>
    </cfRule>
    <cfRule type="beginsWith" dxfId="367" priority="332" stopIfTrue="1" operator="beginsWith" text="Not Functioning">
      <formula>LEFT(C313,LEN("Not Functioning"))="Not Functioning"</formula>
    </cfRule>
    <cfRule type="containsText" dxfId="366" priority="333" operator="containsText" text="Functioning">
      <formula>NOT(ISERROR(SEARCH("Functioning",C313)))</formula>
    </cfRule>
  </conditionalFormatting>
  <conditionalFormatting sqref="E313:E314">
    <cfRule type="beginsWith" dxfId="365" priority="328" stopIfTrue="1" operator="beginsWith" text="Functioning At Risk">
      <formula>LEFT(E313,LEN("Functioning At Risk"))="Functioning At Risk"</formula>
    </cfRule>
    <cfRule type="beginsWith" dxfId="364" priority="329" stopIfTrue="1" operator="beginsWith" text="Not Functioning">
      <formula>LEFT(E313,LEN("Not Functioning"))="Not Functioning"</formula>
    </cfRule>
    <cfRule type="containsText" dxfId="363" priority="330" operator="containsText" text="Functioning">
      <formula>NOT(ISERROR(SEARCH("Functioning",E313)))</formula>
    </cfRule>
  </conditionalFormatting>
  <conditionalFormatting sqref="B351">
    <cfRule type="beginsWith" dxfId="362" priority="325" stopIfTrue="1" operator="beginsWith" text="Functioning At Risk">
      <formula>LEFT(B351,LEN("Functioning At Risk"))="Functioning At Risk"</formula>
    </cfRule>
    <cfRule type="beginsWith" dxfId="361" priority="326" stopIfTrue="1" operator="beginsWith" text="Not Functioning">
      <formula>LEFT(B351,LEN("Not Functioning"))="Not Functioning"</formula>
    </cfRule>
    <cfRule type="containsText" dxfId="360" priority="327" operator="containsText" text="Functioning">
      <formula>NOT(ISERROR(SEARCH("Functioning",B351)))</formula>
    </cfRule>
  </conditionalFormatting>
  <conditionalFormatting sqref="C351:D352 F351:F352">
    <cfRule type="beginsWith" dxfId="359" priority="322" stopIfTrue="1" operator="beginsWith" text="Functioning At Risk">
      <formula>LEFT(C351,LEN("Functioning At Risk"))="Functioning At Risk"</formula>
    </cfRule>
    <cfRule type="beginsWith" dxfId="358" priority="323" stopIfTrue="1" operator="beginsWith" text="Not Functioning">
      <formula>LEFT(C351,LEN("Not Functioning"))="Not Functioning"</formula>
    </cfRule>
    <cfRule type="containsText" dxfId="357" priority="324" operator="containsText" text="Functioning">
      <formula>NOT(ISERROR(SEARCH("Functioning",C351)))</formula>
    </cfRule>
  </conditionalFormatting>
  <conditionalFormatting sqref="E351:E352">
    <cfRule type="beginsWith" dxfId="356" priority="319" stopIfTrue="1" operator="beginsWith" text="Functioning At Risk">
      <formula>LEFT(E351,LEN("Functioning At Risk"))="Functioning At Risk"</formula>
    </cfRule>
    <cfRule type="beginsWith" dxfId="355" priority="320" stopIfTrue="1" operator="beginsWith" text="Not Functioning">
      <formula>LEFT(E351,LEN("Not Functioning"))="Not Functioning"</formula>
    </cfRule>
    <cfRule type="containsText" dxfId="354" priority="321" operator="containsText" text="Functioning">
      <formula>NOT(ISERROR(SEARCH("Functioning",E351)))</formula>
    </cfRule>
  </conditionalFormatting>
  <conditionalFormatting sqref="B389">
    <cfRule type="beginsWith" dxfId="353" priority="316" stopIfTrue="1" operator="beginsWith" text="Functioning At Risk">
      <formula>LEFT(B389,LEN("Functioning At Risk"))="Functioning At Risk"</formula>
    </cfRule>
    <cfRule type="beginsWith" dxfId="352" priority="317" stopIfTrue="1" operator="beginsWith" text="Not Functioning">
      <formula>LEFT(B389,LEN("Not Functioning"))="Not Functioning"</formula>
    </cfRule>
    <cfRule type="containsText" dxfId="351" priority="318" operator="containsText" text="Functioning">
      <formula>NOT(ISERROR(SEARCH("Functioning",B389)))</formula>
    </cfRule>
  </conditionalFormatting>
  <conditionalFormatting sqref="C389:D390 F389:F390">
    <cfRule type="beginsWith" dxfId="350" priority="313" stopIfTrue="1" operator="beginsWith" text="Functioning At Risk">
      <formula>LEFT(C389,LEN("Functioning At Risk"))="Functioning At Risk"</formula>
    </cfRule>
    <cfRule type="beginsWith" dxfId="349" priority="314" stopIfTrue="1" operator="beginsWith" text="Not Functioning">
      <formula>LEFT(C389,LEN("Not Functioning"))="Not Functioning"</formula>
    </cfRule>
    <cfRule type="containsText" dxfId="348" priority="315" operator="containsText" text="Functioning">
      <formula>NOT(ISERROR(SEARCH("Functioning",C389)))</formula>
    </cfRule>
  </conditionalFormatting>
  <conditionalFormatting sqref="E389:E390">
    <cfRule type="beginsWith" dxfId="347" priority="310" stopIfTrue="1" operator="beginsWith" text="Functioning At Risk">
      <formula>LEFT(E389,LEN("Functioning At Risk"))="Functioning At Risk"</formula>
    </cfRule>
    <cfRule type="beginsWith" dxfId="346" priority="311" stopIfTrue="1" operator="beginsWith" text="Not Functioning">
      <formula>LEFT(E389,LEN("Not Functioning"))="Not Functioning"</formula>
    </cfRule>
    <cfRule type="containsText" dxfId="345" priority="312" operator="containsText" text="Functioning">
      <formula>NOT(ISERROR(SEARCH("Functioning",E389)))</formula>
    </cfRule>
  </conditionalFormatting>
  <conditionalFormatting sqref="C369">
    <cfRule type="beginsWith" dxfId="344" priority="307" stopIfTrue="1" operator="beginsWith" text="Functioning At Risk">
      <formula>LEFT(C369,LEN("Functioning At Risk"))="Functioning At Risk"</formula>
    </cfRule>
    <cfRule type="beginsWith" dxfId="343" priority="308" stopIfTrue="1" operator="beginsWith" text="Not Functioning">
      <formula>LEFT(C369,LEN("Not Functioning"))="Not Functioning"</formula>
    </cfRule>
    <cfRule type="containsText" dxfId="342" priority="309" operator="containsText" text="Functioning">
      <formula>NOT(ISERROR(SEARCH("Functioning",C369)))</formula>
    </cfRule>
  </conditionalFormatting>
  <conditionalFormatting sqref="B369">
    <cfRule type="beginsWith" dxfId="341" priority="304" stopIfTrue="1" operator="beginsWith" text="Functioning At Risk">
      <formula>LEFT(B369,LEN("Functioning At Risk"))="Functioning At Risk"</formula>
    </cfRule>
    <cfRule type="beginsWith" dxfId="340" priority="305" stopIfTrue="1" operator="beginsWith" text="Not Functioning">
      <formula>LEFT(B369,LEN("Not Functioning"))="Not Functioning"</formula>
    </cfRule>
    <cfRule type="containsText" dxfId="339" priority="306" operator="containsText" text="Functioning">
      <formula>NOT(ISERROR(SEARCH("Functioning",B369)))</formula>
    </cfRule>
  </conditionalFormatting>
  <conditionalFormatting sqref="C331">
    <cfRule type="beginsWith" dxfId="338" priority="301" stopIfTrue="1" operator="beginsWith" text="Functioning At Risk">
      <formula>LEFT(C331,LEN("Functioning At Risk"))="Functioning At Risk"</formula>
    </cfRule>
    <cfRule type="beginsWith" dxfId="337" priority="302" stopIfTrue="1" operator="beginsWith" text="Not Functioning">
      <formula>LEFT(C331,LEN("Not Functioning"))="Not Functioning"</formula>
    </cfRule>
    <cfRule type="containsText" dxfId="336" priority="303" operator="containsText" text="Functioning">
      <formula>NOT(ISERROR(SEARCH("Functioning",C331)))</formula>
    </cfRule>
  </conditionalFormatting>
  <conditionalFormatting sqref="B331">
    <cfRule type="beginsWith" dxfId="335" priority="298" stopIfTrue="1" operator="beginsWith" text="Functioning At Risk">
      <formula>LEFT(B331,LEN("Functioning At Risk"))="Functioning At Risk"</formula>
    </cfRule>
    <cfRule type="beginsWith" dxfId="334" priority="299" stopIfTrue="1" operator="beginsWith" text="Not Functioning">
      <formula>LEFT(B331,LEN("Not Functioning"))="Not Functioning"</formula>
    </cfRule>
    <cfRule type="containsText" dxfId="333" priority="300" operator="containsText" text="Functioning">
      <formula>NOT(ISERROR(SEARCH("Functioning",B331)))</formula>
    </cfRule>
  </conditionalFormatting>
  <conditionalFormatting sqref="C293">
    <cfRule type="beginsWith" dxfId="332" priority="295" stopIfTrue="1" operator="beginsWith" text="Functioning At Risk">
      <formula>LEFT(C293,LEN("Functioning At Risk"))="Functioning At Risk"</formula>
    </cfRule>
    <cfRule type="beginsWith" dxfId="331" priority="296" stopIfTrue="1" operator="beginsWith" text="Not Functioning">
      <formula>LEFT(C293,LEN("Not Functioning"))="Not Functioning"</formula>
    </cfRule>
    <cfRule type="containsText" dxfId="330" priority="297" operator="containsText" text="Functioning">
      <formula>NOT(ISERROR(SEARCH("Functioning",C293)))</formula>
    </cfRule>
  </conditionalFormatting>
  <conditionalFormatting sqref="B293">
    <cfRule type="beginsWith" dxfId="329" priority="292" stopIfTrue="1" operator="beginsWith" text="Functioning At Risk">
      <formula>LEFT(B293,LEN("Functioning At Risk"))="Functioning At Risk"</formula>
    </cfRule>
    <cfRule type="beginsWith" dxfId="328" priority="293" stopIfTrue="1" operator="beginsWith" text="Not Functioning">
      <formula>LEFT(B293,LEN("Not Functioning"))="Not Functioning"</formula>
    </cfRule>
    <cfRule type="containsText" dxfId="327" priority="294" operator="containsText" text="Functioning">
      <formula>NOT(ISERROR(SEARCH("Functioning",B293)))</formula>
    </cfRule>
  </conditionalFormatting>
  <conditionalFormatting sqref="C255">
    <cfRule type="beginsWith" dxfId="326" priority="289" stopIfTrue="1" operator="beginsWith" text="Functioning At Risk">
      <formula>LEFT(C255,LEN("Functioning At Risk"))="Functioning At Risk"</formula>
    </cfRule>
    <cfRule type="beginsWith" dxfId="325" priority="290" stopIfTrue="1" operator="beginsWith" text="Not Functioning">
      <formula>LEFT(C255,LEN("Not Functioning"))="Not Functioning"</formula>
    </cfRule>
    <cfRule type="containsText" dxfId="324" priority="291" operator="containsText" text="Functioning">
      <formula>NOT(ISERROR(SEARCH("Functioning",C255)))</formula>
    </cfRule>
  </conditionalFormatting>
  <conditionalFormatting sqref="B255">
    <cfRule type="beginsWith" dxfId="323" priority="286" stopIfTrue="1" operator="beginsWith" text="Functioning At Risk">
      <formula>LEFT(B255,LEN("Functioning At Risk"))="Functioning At Risk"</formula>
    </cfRule>
    <cfRule type="beginsWith" dxfId="322" priority="287" stopIfTrue="1" operator="beginsWith" text="Not Functioning">
      <formula>LEFT(B255,LEN("Not Functioning"))="Not Functioning"</formula>
    </cfRule>
    <cfRule type="containsText" dxfId="321" priority="288" operator="containsText" text="Functioning">
      <formula>NOT(ISERROR(SEARCH("Functioning",B255)))</formula>
    </cfRule>
  </conditionalFormatting>
  <conditionalFormatting sqref="C217">
    <cfRule type="beginsWith" dxfId="320" priority="283" stopIfTrue="1" operator="beginsWith" text="Functioning At Risk">
      <formula>LEFT(C217,LEN("Functioning At Risk"))="Functioning At Risk"</formula>
    </cfRule>
    <cfRule type="beginsWith" dxfId="319" priority="284" stopIfTrue="1" operator="beginsWith" text="Not Functioning">
      <formula>LEFT(C217,LEN("Not Functioning"))="Not Functioning"</formula>
    </cfRule>
    <cfRule type="containsText" dxfId="318" priority="285" operator="containsText" text="Functioning">
      <formula>NOT(ISERROR(SEARCH("Functioning",C217)))</formula>
    </cfRule>
  </conditionalFormatting>
  <conditionalFormatting sqref="B217">
    <cfRule type="beginsWith" dxfId="317" priority="280" stopIfTrue="1" operator="beginsWith" text="Functioning At Risk">
      <formula>LEFT(B217,LEN("Functioning At Risk"))="Functioning At Risk"</formula>
    </cfRule>
    <cfRule type="beginsWith" dxfId="316" priority="281" stopIfTrue="1" operator="beginsWith" text="Not Functioning">
      <formula>LEFT(B217,LEN("Not Functioning"))="Not Functioning"</formula>
    </cfRule>
    <cfRule type="containsText" dxfId="315" priority="282" operator="containsText" text="Functioning">
      <formula>NOT(ISERROR(SEARCH("Functioning",B217)))</formula>
    </cfRule>
  </conditionalFormatting>
  <conditionalFormatting sqref="C179">
    <cfRule type="beginsWith" dxfId="314" priority="277" stopIfTrue="1" operator="beginsWith" text="Functioning At Risk">
      <formula>LEFT(C179,LEN("Functioning At Risk"))="Functioning At Risk"</formula>
    </cfRule>
    <cfRule type="beginsWith" dxfId="313" priority="278" stopIfTrue="1" operator="beginsWith" text="Not Functioning">
      <formula>LEFT(C179,LEN("Not Functioning"))="Not Functioning"</formula>
    </cfRule>
    <cfRule type="containsText" dxfId="312" priority="279" operator="containsText" text="Functioning">
      <formula>NOT(ISERROR(SEARCH("Functioning",C179)))</formula>
    </cfRule>
  </conditionalFormatting>
  <conditionalFormatting sqref="B179">
    <cfRule type="beginsWith" dxfId="311" priority="274" stopIfTrue="1" operator="beginsWith" text="Functioning At Risk">
      <formula>LEFT(B179,LEN("Functioning At Risk"))="Functioning At Risk"</formula>
    </cfRule>
    <cfRule type="beginsWith" dxfId="310" priority="275" stopIfTrue="1" operator="beginsWith" text="Not Functioning">
      <formula>LEFT(B179,LEN("Not Functioning"))="Not Functioning"</formula>
    </cfRule>
    <cfRule type="containsText" dxfId="309" priority="276" operator="containsText" text="Functioning">
      <formula>NOT(ISERROR(SEARCH("Functioning",B179)))</formula>
    </cfRule>
  </conditionalFormatting>
  <conditionalFormatting sqref="C141">
    <cfRule type="beginsWith" dxfId="308" priority="271" stopIfTrue="1" operator="beginsWith" text="Functioning At Risk">
      <formula>LEFT(C141,LEN("Functioning At Risk"))="Functioning At Risk"</formula>
    </cfRule>
    <cfRule type="beginsWith" dxfId="307" priority="272" stopIfTrue="1" operator="beginsWith" text="Not Functioning">
      <formula>LEFT(C141,LEN("Not Functioning"))="Not Functioning"</formula>
    </cfRule>
    <cfRule type="containsText" dxfId="306" priority="273" operator="containsText" text="Functioning">
      <formula>NOT(ISERROR(SEARCH("Functioning",C141)))</formula>
    </cfRule>
  </conditionalFormatting>
  <conditionalFormatting sqref="B141">
    <cfRule type="beginsWith" dxfId="305" priority="268" stopIfTrue="1" operator="beginsWith" text="Functioning At Risk">
      <formula>LEFT(B141,LEN("Functioning At Risk"))="Functioning At Risk"</formula>
    </cfRule>
    <cfRule type="beginsWith" dxfId="304" priority="269" stopIfTrue="1" operator="beginsWith" text="Not Functioning">
      <formula>LEFT(B141,LEN("Not Functioning"))="Not Functioning"</formula>
    </cfRule>
    <cfRule type="containsText" dxfId="303" priority="270" operator="containsText" text="Functioning">
      <formula>NOT(ISERROR(SEARCH("Functioning",B141)))</formula>
    </cfRule>
  </conditionalFormatting>
  <conditionalFormatting sqref="C103">
    <cfRule type="beginsWith" dxfId="302" priority="265" stopIfTrue="1" operator="beginsWith" text="Functioning At Risk">
      <formula>LEFT(C103,LEN("Functioning At Risk"))="Functioning At Risk"</formula>
    </cfRule>
    <cfRule type="beginsWith" dxfId="301" priority="266" stopIfTrue="1" operator="beginsWith" text="Not Functioning">
      <formula>LEFT(C103,LEN("Not Functioning"))="Not Functioning"</formula>
    </cfRule>
    <cfRule type="containsText" dxfId="300" priority="267" operator="containsText" text="Functioning">
      <formula>NOT(ISERROR(SEARCH("Functioning",C103)))</formula>
    </cfRule>
  </conditionalFormatting>
  <conditionalFormatting sqref="B103">
    <cfRule type="beginsWith" dxfId="299" priority="262" stopIfTrue="1" operator="beginsWith" text="Functioning At Risk">
      <formula>LEFT(B103,LEN("Functioning At Risk"))="Functioning At Risk"</formula>
    </cfRule>
    <cfRule type="beginsWith" dxfId="298" priority="263" stopIfTrue="1" operator="beginsWith" text="Not Functioning">
      <formula>LEFT(B103,LEN("Not Functioning"))="Not Functioning"</formula>
    </cfRule>
    <cfRule type="containsText" dxfId="297" priority="264" operator="containsText" text="Functioning">
      <formula>NOT(ISERROR(SEARCH("Functioning",B103)))</formula>
    </cfRule>
  </conditionalFormatting>
  <conditionalFormatting sqref="C65">
    <cfRule type="beginsWith" dxfId="296" priority="259" stopIfTrue="1" operator="beginsWith" text="Functioning At Risk">
      <formula>LEFT(C65,LEN("Functioning At Risk"))="Functioning At Risk"</formula>
    </cfRule>
    <cfRule type="beginsWith" dxfId="295" priority="260" stopIfTrue="1" operator="beginsWith" text="Not Functioning">
      <formula>LEFT(C65,LEN("Not Functioning"))="Not Functioning"</formula>
    </cfRule>
    <cfRule type="containsText" dxfId="294" priority="261" operator="containsText" text="Functioning">
      <formula>NOT(ISERROR(SEARCH("Functioning",C65)))</formula>
    </cfRule>
  </conditionalFormatting>
  <conditionalFormatting sqref="B65">
    <cfRule type="beginsWith" dxfId="293" priority="256" stopIfTrue="1" operator="beginsWith" text="Functioning At Risk">
      <formula>LEFT(B65,LEN("Functioning At Risk"))="Functioning At Risk"</formula>
    </cfRule>
    <cfRule type="beginsWith" dxfId="292" priority="257" stopIfTrue="1" operator="beginsWith" text="Not Functioning">
      <formula>LEFT(B65,LEN("Not Functioning"))="Not Functioning"</formula>
    </cfRule>
    <cfRule type="containsText" dxfId="291" priority="258" operator="containsText" text="Functioning">
      <formula>NOT(ISERROR(SEARCH("Functioning",B65)))</formula>
    </cfRule>
  </conditionalFormatting>
  <conditionalFormatting sqref="C27">
    <cfRule type="beginsWith" dxfId="290" priority="253" stopIfTrue="1" operator="beginsWith" text="Functioning At Risk">
      <formula>LEFT(C27,LEN("Functioning At Risk"))="Functioning At Risk"</formula>
    </cfRule>
    <cfRule type="beginsWith" dxfId="289" priority="254" stopIfTrue="1" operator="beginsWith" text="Not Functioning">
      <formula>LEFT(C27,LEN("Not Functioning"))="Not Functioning"</formula>
    </cfRule>
    <cfRule type="containsText" dxfId="288" priority="255" operator="containsText" text="Functioning">
      <formula>NOT(ISERROR(SEARCH("Functioning",C27)))</formula>
    </cfRule>
  </conditionalFormatting>
  <conditionalFormatting sqref="B27">
    <cfRule type="beginsWith" dxfId="287" priority="250" stopIfTrue="1" operator="beginsWith" text="Functioning At Risk">
      <formula>LEFT(B27,LEN("Functioning At Risk"))="Functioning At Risk"</formula>
    </cfRule>
    <cfRule type="beginsWith" dxfId="286" priority="251" stopIfTrue="1" operator="beginsWith" text="Not Functioning">
      <formula>LEFT(B27,LEN("Not Functioning"))="Not Functioning"</formula>
    </cfRule>
    <cfRule type="containsText" dxfId="285" priority="252" operator="containsText" text="Functioning">
      <formula>NOT(ISERROR(SEARCH("Functioning",B27)))</formula>
    </cfRule>
  </conditionalFormatting>
  <conditionalFormatting sqref="C408">
    <cfRule type="beginsWith" dxfId="284" priority="247" stopIfTrue="1" operator="beginsWith" text="Functioning At Risk">
      <formula>LEFT(C408,LEN("Functioning At Risk"))="Functioning At Risk"</formula>
    </cfRule>
    <cfRule type="beginsWith" dxfId="283" priority="248" stopIfTrue="1" operator="beginsWith" text="Not Functioning">
      <formula>LEFT(C408,LEN("Not Functioning"))="Not Functioning"</formula>
    </cfRule>
    <cfRule type="containsText" dxfId="282" priority="249" operator="containsText" text="Functioning">
      <formula>NOT(ISERROR(SEARCH("Functioning",C408)))</formula>
    </cfRule>
  </conditionalFormatting>
  <conditionalFormatting sqref="C370">
    <cfRule type="beginsWith" dxfId="281" priority="244" stopIfTrue="1" operator="beginsWith" text="Functioning At Risk">
      <formula>LEFT(C370,LEN("Functioning At Risk"))="Functioning At Risk"</formula>
    </cfRule>
    <cfRule type="beginsWith" dxfId="280" priority="245" stopIfTrue="1" operator="beginsWith" text="Not Functioning">
      <formula>LEFT(C370,LEN("Not Functioning"))="Not Functioning"</formula>
    </cfRule>
    <cfRule type="containsText" dxfId="279" priority="246" operator="containsText" text="Functioning">
      <formula>NOT(ISERROR(SEARCH("Functioning",C370)))</formula>
    </cfRule>
  </conditionalFormatting>
  <conditionalFormatting sqref="C332">
    <cfRule type="beginsWith" dxfId="278" priority="241" stopIfTrue="1" operator="beginsWith" text="Functioning At Risk">
      <formula>LEFT(C332,LEN("Functioning At Risk"))="Functioning At Risk"</formula>
    </cfRule>
    <cfRule type="beginsWith" dxfId="277" priority="242" stopIfTrue="1" operator="beginsWith" text="Not Functioning">
      <formula>LEFT(C332,LEN("Not Functioning"))="Not Functioning"</formula>
    </cfRule>
    <cfRule type="containsText" dxfId="276" priority="243" operator="containsText" text="Functioning">
      <formula>NOT(ISERROR(SEARCH("Functioning",C332)))</formula>
    </cfRule>
  </conditionalFormatting>
  <conditionalFormatting sqref="C294">
    <cfRule type="beginsWith" dxfId="275" priority="238" stopIfTrue="1" operator="beginsWith" text="Functioning At Risk">
      <formula>LEFT(C294,LEN("Functioning At Risk"))="Functioning At Risk"</formula>
    </cfRule>
    <cfRule type="beginsWith" dxfId="274" priority="239" stopIfTrue="1" operator="beginsWith" text="Not Functioning">
      <formula>LEFT(C294,LEN("Not Functioning"))="Not Functioning"</formula>
    </cfRule>
    <cfRule type="containsText" dxfId="273" priority="240" operator="containsText" text="Functioning">
      <formula>NOT(ISERROR(SEARCH("Functioning",C294)))</formula>
    </cfRule>
  </conditionalFormatting>
  <conditionalFormatting sqref="C256">
    <cfRule type="beginsWith" dxfId="272" priority="235" stopIfTrue="1" operator="beginsWith" text="Functioning At Risk">
      <formula>LEFT(C256,LEN("Functioning At Risk"))="Functioning At Risk"</formula>
    </cfRule>
    <cfRule type="beginsWith" dxfId="271" priority="236" stopIfTrue="1" operator="beginsWith" text="Not Functioning">
      <formula>LEFT(C256,LEN("Not Functioning"))="Not Functioning"</formula>
    </cfRule>
    <cfRule type="containsText" dxfId="270" priority="237" operator="containsText" text="Functioning">
      <formula>NOT(ISERROR(SEARCH("Functioning",C256)))</formula>
    </cfRule>
  </conditionalFormatting>
  <conditionalFormatting sqref="C218">
    <cfRule type="beginsWith" dxfId="269" priority="232" stopIfTrue="1" operator="beginsWith" text="Functioning At Risk">
      <formula>LEFT(C218,LEN("Functioning At Risk"))="Functioning At Risk"</formula>
    </cfRule>
    <cfRule type="beginsWith" dxfId="268" priority="233" stopIfTrue="1" operator="beginsWith" text="Not Functioning">
      <formula>LEFT(C218,LEN("Not Functioning"))="Not Functioning"</formula>
    </cfRule>
    <cfRule type="containsText" dxfId="267" priority="234" operator="containsText" text="Functioning">
      <formula>NOT(ISERROR(SEARCH("Functioning",C218)))</formula>
    </cfRule>
  </conditionalFormatting>
  <conditionalFormatting sqref="C180">
    <cfRule type="beginsWith" dxfId="266" priority="229" stopIfTrue="1" operator="beginsWith" text="Functioning At Risk">
      <formula>LEFT(C180,LEN("Functioning At Risk"))="Functioning At Risk"</formula>
    </cfRule>
    <cfRule type="beginsWith" dxfId="265" priority="230" stopIfTrue="1" operator="beginsWith" text="Not Functioning">
      <formula>LEFT(C180,LEN("Not Functioning"))="Not Functioning"</formula>
    </cfRule>
    <cfRule type="containsText" dxfId="264" priority="231" operator="containsText" text="Functioning">
      <formula>NOT(ISERROR(SEARCH("Functioning",C180)))</formula>
    </cfRule>
  </conditionalFormatting>
  <conditionalFormatting sqref="C142">
    <cfRule type="beginsWith" dxfId="263" priority="226" stopIfTrue="1" operator="beginsWith" text="Functioning At Risk">
      <formula>LEFT(C142,LEN("Functioning At Risk"))="Functioning At Risk"</formula>
    </cfRule>
    <cfRule type="beginsWith" dxfId="262" priority="227" stopIfTrue="1" operator="beginsWith" text="Not Functioning">
      <formula>LEFT(C142,LEN("Not Functioning"))="Not Functioning"</formula>
    </cfRule>
    <cfRule type="containsText" dxfId="261" priority="228" operator="containsText" text="Functioning">
      <formula>NOT(ISERROR(SEARCH("Functioning",C142)))</formula>
    </cfRule>
  </conditionalFormatting>
  <conditionalFormatting sqref="C104">
    <cfRule type="beginsWith" dxfId="260" priority="223" stopIfTrue="1" operator="beginsWith" text="Functioning At Risk">
      <formula>LEFT(C104,LEN("Functioning At Risk"))="Functioning At Risk"</formula>
    </cfRule>
    <cfRule type="beginsWith" dxfId="259" priority="224" stopIfTrue="1" operator="beginsWith" text="Not Functioning">
      <formula>LEFT(C104,LEN("Not Functioning"))="Not Functioning"</formula>
    </cfRule>
    <cfRule type="containsText" dxfId="258" priority="225" operator="containsText" text="Functioning">
      <formula>NOT(ISERROR(SEARCH("Functioning",C104)))</formula>
    </cfRule>
  </conditionalFormatting>
  <conditionalFormatting sqref="C66">
    <cfRule type="beginsWith" dxfId="257" priority="220" stopIfTrue="1" operator="beginsWith" text="Functioning At Risk">
      <formula>LEFT(C66,LEN("Functioning At Risk"))="Functioning At Risk"</formula>
    </cfRule>
    <cfRule type="beginsWith" dxfId="256" priority="221" stopIfTrue="1" operator="beginsWith" text="Not Functioning">
      <formula>LEFT(C66,LEN("Not Functioning"))="Not Functioning"</formula>
    </cfRule>
    <cfRule type="containsText" dxfId="255" priority="222" operator="containsText" text="Functioning">
      <formula>NOT(ISERROR(SEARCH("Functioning",C66)))</formula>
    </cfRule>
  </conditionalFormatting>
  <conditionalFormatting sqref="C28">
    <cfRule type="beginsWith" dxfId="254" priority="217" stopIfTrue="1" operator="beginsWith" text="Functioning At Risk">
      <formula>LEFT(C28,LEN("Functioning At Risk"))="Functioning At Risk"</formula>
    </cfRule>
    <cfRule type="beginsWith" dxfId="253" priority="218" stopIfTrue="1" operator="beginsWith" text="Not Functioning">
      <formula>LEFT(C28,LEN("Not Functioning"))="Not Functioning"</formula>
    </cfRule>
    <cfRule type="containsText" dxfId="252" priority="219" operator="containsText" text="Functioning">
      <formula>NOT(ISERROR(SEARCH("Functioning",C28)))</formula>
    </cfRule>
  </conditionalFormatting>
  <conditionalFormatting sqref="F217">
    <cfRule type="beginsWith" dxfId="251" priority="154" stopIfTrue="1" operator="beginsWith" text="Functioning At Risk">
      <formula>LEFT(F217,LEN("Functioning At Risk"))="Functioning At Risk"</formula>
    </cfRule>
    <cfRule type="beginsWith" dxfId="250" priority="155" stopIfTrue="1" operator="beginsWith" text="Not Functioning">
      <formula>LEFT(F217,LEN("Not Functioning"))="Not Functioning"</formula>
    </cfRule>
    <cfRule type="containsText" dxfId="249" priority="156" operator="containsText" text="Functioning">
      <formula>NOT(ISERROR(SEARCH("Functioning",F217)))</formula>
    </cfRule>
  </conditionalFormatting>
  <conditionalFormatting sqref="E217">
    <cfRule type="beginsWith" dxfId="248" priority="157" stopIfTrue="1" operator="beginsWith" text="Functioning At Risk">
      <formula>LEFT(E217,LEN("Functioning At Risk"))="Functioning At Risk"</formula>
    </cfRule>
    <cfRule type="beginsWith" dxfId="247" priority="158" stopIfTrue="1" operator="beginsWith" text="Not Functioning">
      <formula>LEFT(E217,LEN("Not Functioning"))="Not Functioning"</formula>
    </cfRule>
    <cfRule type="containsText" dxfId="246" priority="159" operator="containsText" text="Functioning">
      <formula>NOT(ISERROR(SEARCH("Functioning",E217)))</formula>
    </cfRule>
  </conditionalFormatting>
  <conditionalFormatting sqref="F179">
    <cfRule type="beginsWith" dxfId="245" priority="160" stopIfTrue="1" operator="beginsWith" text="Functioning At Risk">
      <formula>LEFT(F179,LEN("Functioning At Risk"))="Functioning At Risk"</formula>
    </cfRule>
    <cfRule type="beginsWith" dxfId="244" priority="161" stopIfTrue="1" operator="beginsWith" text="Not Functioning">
      <formula>LEFT(F179,LEN("Not Functioning"))="Not Functioning"</formula>
    </cfRule>
    <cfRule type="containsText" dxfId="243" priority="162" operator="containsText" text="Functioning">
      <formula>NOT(ISERROR(SEARCH("Functioning",F179)))</formula>
    </cfRule>
  </conditionalFormatting>
  <conditionalFormatting sqref="E179">
    <cfRule type="beginsWith" dxfId="242" priority="163" stopIfTrue="1" operator="beginsWith" text="Functioning At Risk">
      <formula>LEFT(E179,LEN("Functioning At Risk"))="Functioning At Risk"</formula>
    </cfRule>
    <cfRule type="beginsWith" dxfId="241" priority="164" stopIfTrue="1" operator="beginsWith" text="Not Functioning">
      <formula>LEFT(E179,LEN("Not Functioning"))="Not Functioning"</formula>
    </cfRule>
    <cfRule type="containsText" dxfId="240" priority="165" operator="containsText" text="Functioning">
      <formula>NOT(ISERROR(SEARCH("Functioning",E179)))</formula>
    </cfRule>
  </conditionalFormatting>
  <conditionalFormatting sqref="F141">
    <cfRule type="beginsWith" dxfId="239" priority="166" stopIfTrue="1" operator="beginsWith" text="Functioning At Risk">
      <formula>LEFT(F141,LEN("Functioning At Risk"))="Functioning At Risk"</formula>
    </cfRule>
    <cfRule type="beginsWith" dxfId="238" priority="167" stopIfTrue="1" operator="beginsWith" text="Not Functioning">
      <formula>LEFT(F141,LEN("Not Functioning"))="Not Functioning"</formula>
    </cfRule>
    <cfRule type="containsText" dxfId="237" priority="168" operator="containsText" text="Functioning">
      <formula>NOT(ISERROR(SEARCH("Functioning",F141)))</formula>
    </cfRule>
  </conditionalFormatting>
  <conditionalFormatting sqref="E141">
    <cfRule type="beginsWith" dxfId="236" priority="169" stopIfTrue="1" operator="beginsWith" text="Functioning At Risk">
      <formula>LEFT(E141,LEN("Functioning At Risk"))="Functioning At Risk"</formula>
    </cfRule>
    <cfRule type="beginsWith" dxfId="235" priority="170" stopIfTrue="1" operator="beginsWith" text="Not Functioning">
      <formula>LEFT(E141,LEN("Not Functioning"))="Not Functioning"</formula>
    </cfRule>
    <cfRule type="containsText" dxfId="234" priority="171" operator="containsText" text="Functioning">
      <formula>NOT(ISERROR(SEARCH("Functioning",E141)))</formula>
    </cfRule>
  </conditionalFormatting>
  <conditionalFormatting sqref="F103">
    <cfRule type="beginsWith" dxfId="233" priority="172" stopIfTrue="1" operator="beginsWith" text="Functioning At Risk">
      <formula>LEFT(F103,LEN("Functioning At Risk"))="Functioning At Risk"</formula>
    </cfRule>
    <cfRule type="beginsWith" dxfId="232" priority="173" stopIfTrue="1" operator="beginsWith" text="Not Functioning">
      <formula>LEFT(F103,LEN("Not Functioning"))="Not Functioning"</formula>
    </cfRule>
    <cfRule type="containsText" dxfId="231" priority="174" operator="containsText" text="Functioning">
      <formula>NOT(ISERROR(SEARCH("Functioning",F103)))</formula>
    </cfRule>
  </conditionalFormatting>
  <conditionalFormatting sqref="E103">
    <cfRule type="beginsWith" dxfId="230" priority="175" stopIfTrue="1" operator="beginsWith" text="Functioning At Risk">
      <formula>LEFT(E103,LEN("Functioning At Risk"))="Functioning At Risk"</formula>
    </cfRule>
    <cfRule type="beginsWith" dxfId="229" priority="176" stopIfTrue="1" operator="beginsWith" text="Not Functioning">
      <formula>LEFT(E103,LEN("Not Functioning"))="Not Functioning"</formula>
    </cfRule>
    <cfRule type="containsText" dxfId="228" priority="177" operator="containsText" text="Functioning">
      <formula>NOT(ISERROR(SEARCH("Functioning",E103)))</formula>
    </cfRule>
  </conditionalFormatting>
  <conditionalFormatting sqref="F65">
    <cfRule type="beginsWith" dxfId="227" priority="178" stopIfTrue="1" operator="beginsWith" text="Functioning At Risk">
      <formula>LEFT(F65,LEN("Functioning At Risk"))="Functioning At Risk"</formula>
    </cfRule>
    <cfRule type="beginsWith" dxfId="226" priority="179" stopIfTrue="1" operator="beginsWith" text="Not Functioning">
      <formula>LEFT(F65,LEN("Not Functioning"))="Not Functioning"</formula>
    </cfRule>
    <cfRule type="containsText" dxfId="225" priority="180" operator="containsText" text="Functioning">
      <formula>NOT(ISERROR(SEARCH("Functioning",F65)))</formula>
    </cfRule>
  </conditionalFormatting>
  <conditionalFormatting sqref="E65">
    <cfRule type="beginsWith" dxfId="224" priority="181" stopIfTrue="1" operator="beginsWith" text="Functioning At Risk">
      <formula>LEFT(E65,LEN("Functioning At Risk"))="Functioning At Risk"</formula>
    </cfRule>
    <cfRule type="beginsWith" dxfId="223" priority="182" stopIfTrue="1" operator="beginsWith" text="Not Functioning">
      <formula>LEFT(E65,LEN("Not Functioning"))="Not Functioning"</formula>
    </cfRule>
    <cfRule type="containsText" dxfId="222" priority="183" operator="containsText" text="Functioning">
      <formula>NOT(ISERROR(SEARCH("Functioning",E65)))</formula>
    </cfRule>
  </conditionalFormatting>
  <conditionalFormatting sqref="F27">
    <cfRule type="beginsWith" dxfId="221" priority="184" stopIfTrue="1" operator="beginsWith" text="Functioning At Risk">
      <formula>LEFT(F27,LEN("Functioning At Risk"))="Functioning At Risk"</formula>
    </cfRule>
    <cfRule type="beginsWith" dxfId="220" priority="185" stopIfTrue="1" operator="beginsWith" text="Not Functioning">
      <formula>LEFT(F27,LEN("Not Functioning"))="Not Functioning"</formula>
    </cfRule>
    <cfRule type="containsText" dxfId="219" priority="186" operator="containsText" text="Functioning">
      <formula>NOT(ISERROR(SEARCH("Functioning",F27)))</formula>
    </cfRule>
  </conditionalFormatting>
  <conditionalFormatting sqref="E255">
    <cfRule type="beginsWith" dxfId="218" priority="151" stopIfTrue="1" operator="beginsWith" text="Functioning At Risk">
      <formula>LEFT(E255,LEN("Functioning At Risk"))="Functioning At Risk"</formula>
    </cfRule>
    <cfRule type="beginsWith" dxfId="217" priority="152" stopIfTrue="1" operator="beginsWith" text="Not Functioning">
      <formula>LEFT(E255,LEN("Not Functioning"))="Not Functioning"</formula>
    </cfRule>
    <cfRule type="containsText" dxfId="216" priority="153" operator="containsText" text="Functioning">
      <formula>NOT(ISERROR(SEARCH("Functioning",E255)))</formula>
    </cfRule>
  </conditionalFormatting>
  <conditionalFormatting sqref="F255">
    <cfRule type="beginsWith" dxfId="215" priority="148" stopIfTrue="1" operator="beginsWith" text="Functioning At Risk">
      <formula>LEFT(F255,LEN("Functioning At Risk"))="Functioning At Risk"</formula>
    </cfRule>
    <cfRule type="beginsWith" dxfId="214" priority="149" stopIfTrue="1" operator="beginsWith" text="Not Functioning">
      <formula>LEFT(F255,LEN("Not Functioning"))="Not Functioning"</formula>
    </cfRule>
    <cfRule type="containsText" dxfId="213" priority="150" operator="containsText" text="Functioning">
      <formula>NOT(ISERROR(SEARCH("Functioning",F255)))</formula>
    </cfRule>
  </conditionalFormatting>
  <conditionalFormatting sqref="E293">
    <cfRule type="beginsWith" dxfId="212" priority="145" stopIfTrue="1" operator="beginsWith" text="Functioning At Risk">
      <formula>LEFT(E293,LEN("Functioning At Risk"))="Functioning At Risk"</formula>
    </cfRule>
    <cfRule type="beginsWith" dxfId="211" priority="146" stopIfTrue="1" operator="beginsWith" text="Not Functioning">
      <formula>LEFT(E293,LEN("Not Functioning"))="Not Functioning"</formula>
    </cfRule>
    <cfRule type="containsText" dxfId="210" priority="147" operator="containsText" text="Functioning">
      <formula>NOT(ISERROR(SEARCH("Functioning",E293)))</formula>
    </cfRule>
  </conditionalFormatting>
  <conditionalFormatting sqref="F293">
    <cfRule type="beginsWith" dxfId="209" priority="142" stopIfTrue="1" operator="beginsWith" text="Functioning At Risk">
      <formula>LEFT(F293,LEN("Functioning At Risk"))="Functioning At Risk"</formula>
    </cfRule>
    <cfRule type="beginsWith" dxfId="208" priority="143" stopIfTrue="1" operator="beginsWith" text="Not Functioning">
      <formula>LEFT(F293,LEN("Not Functioning"))="Not Functioning"</formula>
    </cfRule>
    <cfRule type="containsText" dxfId="207" priority="144" operator="containsText" text="Functioning">
      <formula>NOT(ISERROR(SEARCH("Functioning",F293)))</formula>
    </cfRule>
  </conditionalFormatting>
  <conditionalFormatting sqref="E331">
    <cfRule type="beginsWith" dxfId="206" priority="139" stopIfTrue="1" operator="beginsWith" text="Functioning At Risk">
      <formula>LEFT(E331,LEN("Functioning At Risk"))="Functioning At Risk"</formula>
    </cfRule>
    <cfRule type="beginsWith" dxfId="205" priority="140" stopIfTrue="1" operator="beginsWith" text="Not Functioning">
      <formula>LEFT(E331,LEN("Not Functioning"))="Not Functioning"</formula>
    </cfRule>
    <cfRule type="containsText" dxfId="204" priority="141" operator="containsText" text="Functioning">
      <formula>NOT(ISERROR(SEARCH("Functioning",E331)))</formula>
    </cfRule>
  </conditionalFormatting>
  <conditionalFormatting sqref="F331">
    <cfRule type="beginsWith" dxfId="203" priority="136" stopIfTrue="1" operator="beginsWith" text="Functioning At Risk">
      <formula>LEFT(F331,LEN("Functioning At Risk"))="Functioning At Risk"</formula>
    </cfRule>
    <cfRule type="beginsWith" dxfId="202" priority="137" stopIfTrue="1" operator="beginsWith" text="Not Functioning">
      <formula>LEFT(F331,LEN("Not Functioning"))="Not Functioning"</formula>
    </cfRule>
    <cfRule type="containsText" dxfId="201" priority="138" operator="containsText" text="Functioning">
      <formula>NOT(ISERROR(SEARCH("Functioning",F331)))</formula>
    </cfRule>
  </conditionalFormatting>
  <conditionalFormatting sqref="E369">
    <cfRule type="beginsWith" dxfId="200" priority="133" stopIfTrue="1" operator="beginsWith" text="Functioning At Risk">
      <formula>LEFT(E369,LEN("Functioning At Risk"))="Functioning At Risk"</formula>
    </cfRule>
    <cfRule type="beginsWith" dxfId="199" priority="134" stopIfTrue="1" operator="beginsWith" text="Not Functioning">
      <formula>LEFT(E369,LEN("Not Functioning"))="Not Functioning"</formula>
    </cfRule>
    <cfRule type="containsText" dxfId="198" priority="135" operator="containsText" text="Functioning">
      <formula>NOT(ISERROR(SEARCH("Functioning",E369)))</formula>
    </cfRule>
  </conditionalFormatting>
  <conditionalFormatting sqref="F369">
    <cfRule type="beginsWith" dxfId="197" priority="130" stopIfTrue="1" operator="beginsWith" text="Functioning At Risk">
      <formula>LEFT(F369,LEN("Functioning At Risk"))="Functioning At Risk"</formula>
    </cfRule>
    <cfRule type="beginsWith" dxfId="196" priority="131" stopIfTrue="1" operator="beginsWith" text="Not Functioning">
      <formula>LEFT(F369,LEN("Not Functioning"))="Not Functioning"</formula>
    </cfRule>
    <cfRule type="containsText" dxfId="195" priority="132" operator="containsText" text="Functioning">
      <formula>NOT(ISERROR(SEARCH("Functioning",F369)))</formula>
    </cfRule>
  </conditionalFormatting>
  <conditionalFormatting sqref="E407">
    <cfRule type="beginsWith" dxfId="194" priority="127" stopIfTrue="1" operator="beginsWith" text="Functioning At Risk">
      <formula>LEFT(E407,LEN("Functioning At Risk"))="Functioning At Risk"</formula>
    </cfRule>
    <cfRule type="beginsWith" dxfId="193" priority="128" stopIfTrue="1" operator="beginsWith" text="Not Functioning">
      <formula>LEFT(E407,LEN("Not Functioning"))="Not Functioning"</formula>
    </cfRule>
    <cfRule type="containsText" dxfId="192" priority="129" operator="containsText" text="Functioning">
      <formula>NOT(ISERROR(SEARCH("Functioning",E407)))</formula>
    </cfRule>
  </conditionalFormatting>
  <conditionalFormatting sqref="F407">
    <cfRule type="beginsWith" dxfId="191" priority="124" stopIfTrue="1" operator="beginsWith" text="Functioning At Risk">
      <formula>LEFT(F407,LEN("Functioning At Risk"))="Functioning At Risk"</formula>
    </cfRule>
    <cfRule type="beginsWith" dxfId="190" priority="125" stopIfTrue="1" operator="beginsWith" text="Not Functioning">
      <formula>LEFT(F407,LEN("Not Functioning"))="Not Functioning"</formula>
    </cfRule>
    <cfRule type="containsText" dxfId="189" priority="126" operator="containsText" text="Functioning">
      <formula>NOT(ISERROR(SEARCH("Functioning",F407)))</formula>
    </cfRule>
  </conditionalFormatting>
  <conditionalFormatting sqref="C32">
    <cfRule type="beginsWith" dxfId="188" priority="121" stopIfTrue="1" operator="beginsWith" text="Functioning At Risk">
      <formula>LEFT(C32,LEN("Functioning At Risk"))="Functioning At Risk"</formula>
    </cfRule>
    <cfRule type="beginsWith" dxfId="187" priority="122" stopIfTrue="1" operator="beginsWith" text="Not Functioning">
      <formula>LEFT(C32,LEN("Not Functioning"))="Not Functioning"</formula>
    </cfRule>
    <cfRule type="containsText" dxfId="186" priority="123" operator="containsText" text="Functioning">
      <formula>NOT(ISERROR(SEARCH("Functioning",C32)))</formula>
    </cfRule>
  </conditionalFormatting>
  <conditionalFormatting sqref="C70">
    <cfRule type="beginsWith" dxfId="185" priority="118" stopIfTrue="1" operator="beginsWith" text="Functioning At Risk">
      <formula>LEFT(C70,LEN("Functioning At Risk"))="Functioning At Risk"</formula>
    </cfRule>
    <cfRule type="beginsWith" dxfId="184" priority="119" stopIfTrue="1" operator="beginsWith" text="Not Functioning">
      <formula>LEFT(C70,LEN("Not Functioning"))="Not Functioning"</formula>
    </cfRule>
    <cfRule type="containsText" dxfId="183" priority="120" operator="containsText" text="Functioning">
      <formula>NOT(ISERROR(SEARCH("Functioning",C70)))</formula>
    </cfRule>
  </conditionalFormatting>
  <conditionalFormatting sqref="C108">
    <cfRule type="beginsWith" dxfId="182" priority="115" stopIfTrue="1" operator="beginsWith" text="Functioning At Risk">
      <formula>LEFT(C108,LEN("Functioning At Risk"))="Functioning At Risk"</formula>
    </cfRule>
    <cfRule type="beginsWith" dxfId="181" priority="116" stopIfTrue="1" operator="beginsWith" text="Not Functioning">
      <formula>LEFT(C108,LEN("Not Functioning"))="Not Functioning"</formula>
    </cfRule>
    <cfRule type="containsText" dxfId="180" priority="117" operator="containsText" text="Functioning">
      <formula>NOT(ISERROR(SEARCH("Functioning",C108)))</formula>
    </cfRule>
  </conditionalFormatting>
  <conditionalFormatting sqref="C146">
    <cfRule type="beginsWith" dxfId="179" priority="112" stopIfTrue="1" operator="beginsWith" text="Functioning At Risk">
      <formula>LEFT(C146,LEN("Functioning At Risk"))="Functioning At Risk"</formula>
    </cfRule>
    <cfRule type="beginsWith" dxfId="178" priority="113" stopIfTrue="1" operator="beginsWith" text="Not Functioning">
      <formula>LEFT(C146,LEN("Not Functioning"))="Not Functioning"</formula>
    </cfRule>
    <cfRule type="containsText" dxfId="177" priority="114" operator="containsText" text="Functioning">
      <formula>NOT(ISERROR(SEARCH("Functioning",C146)))</formula>
    </cfRule>
  </conditionalFormatting>
  <conditionalFormatting sqref="C184">
    <cfRule type="beginsWith" dxfId="176" priority="109" stopIfTrue="1" operator="beginsWith" text="Functioning At Risk">
      <formula>LEFT(C184,LEN("Functioning At Risk"))="Functioning At Risk"</formula>
    </cfRule>
    <cfRule type="beginsWith" dxfId="175" priority="110" stopIfTrue="1" operator="beginsWith" text="Not Functioning">
      <formula>LEFT(C184,LEN("Not Functioning"))="Not Functioning"</formula>
    </cfRule>
    <cfRule type="containsText" dxfId="174" priority="111" operator="containsText" text="Functioning">
      <formula>NOT(ISERROR(SEARCH("Functioning",C184)))</formula>
    </cfRule>
  </conditionalFormatting>
  <conditionalFormatting sqref="C222">
    <cfRule type="beginsWith" dxfId="173" priority="106" stopIfTrue="1" operator="beginsWith" text="Functioning At Risk">
      <formula>LEFT(C222,LEN("Functioning At Risk"))="Functioning At Risk"</formula>
    </cfRule>
    <cfRule type="beginsWith" dxfId="172" priority="107" stopIfTrue="1" operator="beginsWith" text="Not Functioning">
      <formula>LEFT(C222,LEN("Not Functioning"))="Not Functioning"</formula>
    </cfRule>
    <cfRule type="containsText" dxfId="171" priority="108" operator="containsText" text="Functioning">
      <formula>NOT(ISERROR(SEARCH("Functioning",C222)))</formula>
    </cfRule>
  </conditionalFormatting>
  <conditionalFormatting sqref="C260">
    <cfRule type="beginsWith" dxfId="170" priority="103" stopIfTrue="1" operator="beginsWith" text="Functioning At Risk">
      <formula>LEFT(C260,LEN("Functioning At Risk"))="Functioning At Risk"</formula>
    </cfRule>
    <cfRule type="beginsWith" dxfId="169" priority="104" stopIfTrue="1" operator="beginsWith" text="Not Functioning">
      <formula>LEFT(C260,LEN("Not Functioning"))="Not Functioning"</formula>
    </cfRule>
    <cfRule type="containsText" dxfId="168" priority="105" operator="containsText" text="Functioning">
      <formula>NOT(ISERROR(SEARCH("Functioning",C260)))</formula>
    </cfRule>
  </conditionalFormatting>
  <conditionalFormatting sqref="C298">
    <cfRule type="beginsWith" dxfId="167" priority="100" stopIfTrue="1" operator="beginsWith" text="Functioning At Risk">
      <formula>LEFT(C298,LEN("Functioning At Risk"))="Functioning At Risk"</formula>
    </cfRule>
    <cfRule type="beginsWith" dxfId="166" priority="101" stopIfTrue="1" operator="beginsWith" text="Not Functioning">
      <formula>LEFT(C298,LEN("Not Functioning"))="Not Functioning"</formula>
    </cfRule>
    <cfRule type="containsText" dxfId="165" priority="102" operator="containsText" text="Functioning">
      <formula>NOT(ISERROR(SEARCH("Functioning",C298)))</formula>
    </cfRule>
  </conditionalFormatting>
  <conditionalFormatting sqref="C336">
    <cfRule type="beginsWith" dxfId="164" priority="97" stopIfTrue="1" operator="beginsWith" text="Functioning At Risk">
      <formula>LEFT(C336,LEN("Functioning At Risk"))="Functioning At Risk"</formula>
    </cfRule>
    <cfRule type="beginsWith" dxfId="163" priority="98" stopIfTrue="1" operator="beginsWith" text="Not Functioning">
      <formula>LEFT(C336,LEN("Not Functioning"))="Not Functioning"</formula>
    </cfRule>
    <cfRule type="containsText" dxfId="162" priority="99" operator="containsText" text="Functioning">
      <formula>NOT(ISERROR(SEARCH("Functioning",C336)))</formula>
    </cfRule>
  </conditionalFormatting>
  <conditionalFormatting sqref="C374">
    <cfRule type="beginsWith" dxfId="161" priority="94" stopIfTrue="1" operator="beginsWith" text="Functioning At Risk">
      <formula>LEFT(C374,LEN("Functioning At Risk"))="Functioning At Risk"</formula>
    </cfRule>
    <cfRule type="beginsWith" dxfId="160" priority="95" stopIfTrue="1" operator="beginsWith" text="Not Functioning">
      <formula>LEFT(C374,LEN("Not Functioning"))="Not Functioning"</formula>
    </cfRule>
    <cfRule type="containsText" dxfId="159" priority="96" operator="containsText" text="Functioning">
      <formula>NOT(ISERROR(SEARCH("Functioning",C374)))</formula>
    </cfRule>
  </conditionalFormatting>
  <conditionalFormatting sqref="C412">
    <cfRule type="beginsWith" dxfId="158" priority="91" stopIfTrue="1" operator="beginsWith" text="Functioning At Risk">
      <formula>LEFT(C412,LEN("Functioning At Risk"))="Functioning At Risk"</formula>
    </cfRule>
    <cfRule type="beginsWith" dxfId="157" priority="92" stopIfTrue="1" operator="beginsWith" text="Not Functioning">
      <formula>LEFT(C412,LEN("Not Functioning"))="Not Functioning"</formula>
    </cfRule>
    <cfRule type="containsText" dxfId="156" priority="93" operator="containsText" text="Functioning">
      <formula>NOT(ISERROR(SEARCH("Functioning",C412)))</formula>
    </cfRule>
  </conditionalFormatting>
  <conditionalFormatting sqref="F74">
    <cfRule type="beginsWith" dxfId="155" priority="88" stopIfTrue="1" operator="beginsWith" text="Functioning At Risk">
      <formula>LEFT(F74,LEN("Functioning At Risk"))="Functioning At Risk"</formula>
    </cfRule>
    <cfRule type="beginsWith" dxfId="154" priority="89" stopIfTrue="1" operator="beginsWith" text="Not Functioning">
      <formula>LEFT(F74,LEN("Not Functioning"))="Not Functioning"</formula>
    </cfRule>
    <cfRule type="containsText" dxfId="153" priority="90" operator="containsText" text="Functioning">
      <formula>NOT(ISERROR(SEARCH("Functioning",F74)))</formula>
    </cfRule>
  </conditionalFormatting>
  <conditionalFormatting sqref="F112">
    <cfRule type="beginsWith" dxfId="152" priority="85" stopIfTrue="1" operator="beginsWith" text="Functioning At Risk">
      <formula>LEFT(F112,LEN("Functioning At Risk"))="Functioning At Risk"</formula>
    </cfRule>
    <cfRule type="beginsWith" dxfId="151" priority="86" stopIfTrue="1" operator="beginsWith" text="Not Functioning">
      <formula>LEFT(F112,LEN("Not Functioning"))="Not Functioning"</formula>
    </cfRule>
    <cfRule type="containsText" dxfId="150" priority="87" operator="containsText" text="Functioning">
      <formula>NOT(ISERROR(SEARCH("Functioning",F112)))</formula>
    </cfRule>
  </conditionalFormatting>
  <conditionalFormatting sqref="F150">
    <cfRule type="beginsWith" dxfId="149" priority="82" stopIfTrue="1" operator="beginsWith" text="Functioning At Risk">
      <formula>LEFT(F150,LEN("Functioning At Risk"))="Functioning At Risk"</formula>
    </cfRule>
    <cfRule type="beginsWith" dxfId="148" priority="83" stopIfTrue="1" operator="beginsWith" text="Not Functioning">
      <formula>LEFT(F150,LEN("Not Functioning"))="Not Functioning"</formula>
    </cfRule>
    <cfRule type="containsText" dxfId="147" priority="84" operator="containsText" text="Functioning">
      <formula>NOT(ISERROR(SEARCH("Functioning",F150)))</formula>
    </cfRule>
  </conditionalFormatting>
  <conditionalFormatting sqref="F188">
    <cfRule type="beginsWith" dxfId="146" priority="79" stopIfTrue="1" operator="beginsWith" text="Functioning At Risk">
      <formula>LEFT(F188,LEN("Functioning At Risk"))="Functioning At Risk"</formula>
    </cfRule>
    <cfRule type="beginsWith" dxfId="145" priority="80" stopIfTrue="1" operator="beginsWith" text="Not Functioning">
      <formula>LEFT(F188,LEN("Not Functioning"))="Not Functioning"</formula>
    </cfRule>
    <cfRule type="containsText" dxfId="144" priority="81" operator="containsText" text="Functioning">
      <formula>NOT(ISERROR(SEARCH("Functioning",F188)))</formula>
    </cfRule>
  </conditionalFormatting>
  <conditionalFormatting sqref="F226">
    <cfRule type="beginsWith" dxfId="143" priority="76" stopIfTrue="1" operator="beginsWith" text="Functioning At Risk">
      <formula>LEFT(F226,LEN("Functioning At Risk"))="Functioning At Risk"</formula>
    </cfRule>
    <cfRule type="beginsWith" dxfId="142" priority="77" stopIfTrue="1" operator="beginsWith" text="Not Functioning">
      <formula>LEFT(F226,LEN("Not Functioning"))="Not Functioning"</formula>
    </cfRule>
    <cfRule type="containsText" dxfId="141" priority="78" operator="containsText" text="Functioning">
      <formula>NOT(ISERROR(SEARCH("Functioning",F226)))</formula>
    </cfRule>
  </conditionalFormatting>
  <conditionalFormatting sqref="F264">
    <cfRule type="beginsWith" dxfId="140" priority="73" stopIfTrue="1" operator="beginsWith" text="Functioning At Risk">
      <formula>LEFT(F264,LEN("Functioning At Risk"))="Functioning At Risk"</formula>
    </cfRule>
    <cfRule type="beginsWith" dxfId="139" priority="74" stopIfTrue="1" operator="beginsWith" text="Not Functioning">
      <formula>LEFT(F264,LEN("Not Functioning"))="Not Functioning"</formula>
    </cfRule>
    <cfRule type="containsText" dxfId="138" priority="75" operator="containsText" text="Functioning">
      <formula>NOT(ISERROR(SEARCH("Functioning",F264)))</formula>
    </cfRule>
  </conditionalFormatting>
  <conditionalFormatting sqref="F302">
    <cfRule type="beginsWith" dxfId="137" priority="70" stopIfTrue="1" operator="beginsWith" text="Functioning At Risk">
      <formula>LEFT(F302,LEN("Functioning At Risk"))="Functioning At Risk"</formula>
    </cfRule>
    <cfRule type="beginsWith" dxfId="136" priority="71" stopIfTrue="1" operator="beginsWith" text="Not Functioning">
      <formula>LEFT(F302,LEN("Not Functioning"))="Not Functioning"</formula>
    </cfRule>
    <cfRule type="containsText" dxfId="135" priority="72" operator="containsText" text="Functioning">
      <formula>NOT(ISERROR(SEARCH("Functioning",F302)))</formula>
    </cfRule>
  </conditionalFormatting>
  <conditionalFormatting sqref="F340">
    <cfRule type="beginsWith" dxfId="134" priority="67" stopIfTrue="1" operator="beginsWith" text="Functioning At Risk">
      <formula>LEFT(F340,LEN("Functioning At Risk"))="Functioning At Risk"</formula>
    </cfRule>
    <cfRule type="beginsWith" dxfId="133" priority="68" stopIfTrue="1" operator="beginsWith" text="Not Functioning">
      <formula>LEFT(F340,LEN("Not Functioning"))="Not Functioning"</formula>
    </cfRule>
    <cfRule type="containsText" dxfId="132" priority="69" operator="containsText" text="Functioning">
      <formula>NOT(ISERROR(SEARCH("Functioning",F340)))</formula>
    </cfRule>
  </conditionalFormatting>
  <conditionalFormatting sqref="F378">
    <cfRule type="beginsWith" dxfId="131" priority="64" stopIfTrue="1" operator="beginsWith" text="Functioning At Risk">
      <formula>LEFT(F378,LEN("Functioning At Risk"))="Functioning At Risk"</formula>
    </cfRule>
    <cfRule type="beginsWith" dxfId="130" priority="65" stopIfTrue="1" operator="beginsWith" text="Not Functioning">
      <formula>LEFT(F378,LEN("Not Functioning"))="Not Functioning"</formula>
    </cfRule>
    <cfRule type="containsText" dxfId="129" priority="66" operator="containsText" text="Functioning">
      <formula>NOT(ISERROR(SEARCH("Functioning",F378)))</formula>
    </cfRule>
  </conditionalFormatting>
  <conditionalFormatting sqref="F416">
    <cfRule type="beginsWith" dxfId="128" priority="61" stopIfTrue="1" operator="beginsWith" text="Functioning At Risk">
      <formula>LEFT(F416,LEN("Functioning At Risk"))="Functioning At Risk"</formula>
    </cfRule>
    <cfRule type="beginsWith" dxfId="127" priority="62" stopIfTrue="1" operator="beginsWith" text="Not Functioning">
      <formula>LEFT(F416,LEN("Not Functioning"))="Not Functioning"</formula>
    </cfRule>
    <cfRule type="containsText" dxfId="126" priority="63" operator="containsText" text="Functioning">
      <formula>NOT(ISERROR(SEARCH("Functioning",F416)))</formula>
    </cfRule>
  </conditionalFormatting>
  <conditionalFormatting sqref="F404">
    <cfRule type="beginsWith" dxfId="125" priority="58" stopIfTrue="1" operator="beginsWith" text="Functioning At Risk">
      <formula>LEFT(F404,LEN("Functioning At Risk"))="Functioning At Risk"</formula>
    </cfRule>
    <cfRule type="beginsWith" dxfId="124" priority="59" stopIfTrue="1" operator="beginsWith" text="Not Functioning">
      <formula>LEFT(F404,LEN("Not Functioning"))="Not Functioning"</formula>
    </cfRule>
    <cfRule type="containsText" dxfId="123" priority="60" operator="containsText" text="Functioning">
      <formula>NOT(ISERROR(SEARCH("Functioning",F404)))</formula>
    </cfRule>
  </conditionalFormatting>
  <conditionalFormatting sqref="F366">
    <cfRule type="beginsWith" dxfId="122" priority="55" stopIfTrue="1" operator="beginsWith" text="Functioning At Risk">
      <formula>LEFT(F366,LEN("Functioning At Risk"))="Functioning At Risk"</formula>
    </cfRule>
    <cfRule type="beginsWith" dxfId="121" priority="56" stopIfTrue="1" operator="beginsWith" text="Not Functioning">
      <formula>LEFT(F366,LEN("Not Functioning"))="Not Functioning"</formula>
    </cfRule>
    <cfRule type="containsText" dxfId="120" priority="57" operator="containsText" text="Functioning">
      <formula>NOT(ISERROR(SEARCH("Functioning",F366)))</formula>
    </cfRule>
  </conditionalFormatting>
  <conditionalFormatting sqref="F328">
    <cfRule type="beginsWith" dxfId="119" priority="52" stopIfTrue="1" operator="beginsWith" text="Functioning At Risk">
      <formula>LEFT(F328,LEN("Functioning At Risk"))="Functioning At Risk"</formula>
    </cfRule>
    <cfRule type="beginsWith" dxfId="118" priority="53" stopIfTrue="1" operator="beginsWith" text="Not Functioning">
      <formula>LEFT(F328,LEN("Not Functioning"))="Not Functioning"</formula>
    </cfRule>
    <cfRule type="containsText" dxfId="117" priority="54" operator="containsText" text="Functioning">
      <formula>NOT(ISERROR(SEARCH("Functioning",F328)))</formula>
    </cfRule>
  </conditionalFormatting>
  <conditionalFormatting sqref="F290">
    <cfRule type="beginsWith" dxfId="116" priority="49" stopIfTrue="1" operator="beginsWith" text="Functioning At Risk">
      <formula>LEFT(F290,LEN("Functioning At Risk"))="Functioning At Risk"</formula>
    </cfRule>
    <cfRule type="beginsWith" dxfId="115" priority="50" stopIfTrue="1" operator="beginsWith" text="Not Functioning">
      <formula>LEFT(F290,LEN("Not Functioning"))="Not Functioning"</formula>
    </cfRule>
    <cfRule type="containsText" dxfId="114" priority="51" operator="containsText" text="Functioning">
      <formula>NOT(ISERROR(SEARCH("Functioning",F290)))</formula>
    </cfRule>
  </conditionalFormatting>
  <conditionalFormatting sqref="F214">
    <cfRule type="beginsWith" dxfId="113" priority="46" stopIfTrue="1" operator="beginsWith" text="Functioning At Risk">
      <formula>LEFT(F214,LEN("Functioning At Risk"))="Functioning At Risk"</formula>
    </cfRule>
    <cfRule type="beginsWith" dxfId="112" priority="47" stopIfTrue="1" operator="beginsWith" text="Not Functioning">
      <formula>LEFT(F214,LEN("Not Functioning"))="Not Functioning"</formula>
    </cfRule>
    <cfRule type="containsText" dxfId="111" priority="48" operator="containsText" text="Functioning">
      <formula>NOT(ISERROR(SEARCH("Functioning",F214)))</formula>
    </cfRule>
  </conditionalFormatting>
  <conditionalFormatting sqref="F176">
    <cfRule type="beginsWith" dxfId="110" priority="43" stopIfTrue="1" operator="beginsWith" text="Functioning At Risk">
      <formula>LEFT(F176,LEN("Functioning At Risk"))="Functioning At Risk"</formula>
    </cfRule>
    <cfRule type="beginsWith" dxfId="109" priority="44" stopIfTrue="1" operator="beginsWith" text="Not Functioning">
      <formula>LEFT(F176,LEN("Not Functioning"))="Not Functioning"</formula>
    </cfRule>
    <cfRule type="containsText" dxfId="108" priority="45" operator="containsText" text="Functioning">
      <formula>NOT(ISERROR(SEARCH("Functioning",F176)))</formula>
    </cfRule>
  </conditionalFormatting>
  <conditionalFormatting sqref="F138">
    <cfRule type="beginsWith" dxfId="107" priority="40" stopIfTrue="1" operator="beginsWith" text="Functioning At Risk">
      <formula>LEFT(F138,LEN("Functioning At Risk"))="Functioning At Risk"</formula>
    </cfRule>
    <cfRule type="beginsWith" dxfId="106" priority="41" stopIfTrue="1" operator="beginsWith" text="Not Functioning">
      <formula>LEFT(F138,LEN("Not Functioning"))="Not Functioning"</formula>
    </cfRule>
    <cfRule type="containsText" dxfId="105" priority="42" operator="containsText" text="Functioning">
      <formula>NOT(ISERROR(SEARCH("Functioning",F138)))</formula>
    </cfRule>
  </conditionalFormatting>
  <conditionalFormatting sqref="F100">
    <cfRule type="beginsWith" dxfId="104" priority="37" stopIfTrue="1" operator="beginsWith" text="Functioning At Risk">
      <formula>LEFT(F100,LEN("Functioning At Risk"))="Functioning At Risk"</formula>
    </cfRule>
    <cfRule type="beginsWith" dxfId="103" priority="38" stopIfTrue="1" operator="beginsWith" text="Not Functioning">
      <formula>LEFT(F100,LEN("Not Functioning"))="Not Functioning"</formula>
    </cfRule>
    <cfRule type="containsText" dxfId="102" priority="39" operator="containsText" text="Functioning">
      <formula>NOT(ISERROR(SEARCH("Functioning",F100)))</formula>
    </cfRule>
  </conditionalFormatting>
  <conditionalFormatting sqref="F62">
    <cfRule type="beginsWith" dxfId="101" priority="34" stopIfTrue="1" operator="beginsWith" text="Functioning At Risk">
      <formula>LEFT(F62,LEN("Functioning At Risk"))="Functioning At Risk"</formula>
    </cfRule>
    <cfRule type="beginsWith" dxfId="100" priority="35" stopIfTrue="1" operator="beginsWith" text="Not Functioning">
      <formula>LEFT(F62,LEN("Not Functioning"))="Not Functioning"</formula>
    </cfRule>
    <cfRule type="containsText" dxfId="99" priority="36" operator="containsText" text="Functioning">
      <formula>NOT(ISERROR(SEARCH("Functioning",F62)))</formula>
    </cfRule>
  </conditionalFormatting>
  <conditionalFormatting sqref="F24">
    <cfRule type="beginsWith" dxfId="98" priority="31" stopIfTrue="1" operator="beginsWith" text="Functioning At Risk">
      <formula>LEFT(F24,LEN("Functioning At Risk"))="Functioning At Risk"</formula>
    </cfRule>
    <cfRule type="beginsWith" dxfId="97" priority="32" stopIfTrue="1" operator="beginsWith" text="Not Functioning">
      <formula>LEFT(F24,LEN("Not Functioning"))="Not Functioning"</formula>
    </cfRule>
    <cfRule type="containsText" dxfId="96" priority="33" operator="containsText" text="Functioning">
      <formula>NOT(ISERROR(SEARCH("Functioning",F24)))</formula>
    </cfRule>
  </conditionalFormatting>
  <conditionalFormatting sqref="F54:F55">
    <cfRule type="beginsWith" dxfId="95" priority="28" stopIfTrue="1" operator="beginsWith" text="Functioning At Risk">
      <formula>LEFT(F54,LEN("Functioning At Risk"))="Functioning At Risk"</formula>
    </cfRule>
    <cfRule type="beginsWith" dxfId="94" priority="29" stopIfTrue="1" operator="beginsWith" text="Not Functioning">
      <formula>LEFT(F54,LEN("Not Functioning"))="Not Functioning"</formula>
    </cfRule>
    <cfRule type="containsText" dxfId="93" priority="30" operator="containsText" text="Functioning">
      <formula>NOT(ISERROR(SEARCH("Functioning",F54)))</formula>
    </cfRule>
  </conditionalFormatting>
  <conditionalFormatting sqref="F92:F93">
    <cfRule type="beginsWith" dxfId="92" priority="25" stopIfTrue="1" operator="beginsWith" text="Functioning At Risk">
      <formula>LEFT(F92,LEN("Functioning At Risk"))="Functioning At Risk"</formula>
    </cfRule>
    <cfRule type="beginsWith" dxfId="91" priority="26" stopIfTrue="1" operator="beginsWith" text="Not Functioning">
      <formula>LEFT(F92,LEN("Not Functioning"))="Not Functioning"</formula>
    </cfRule>
    <cfRule type="containsText" dxfId="90" priority="27" operator="containsText" text="Functioning">
      <formula>NOT(ISERROR(SEARCH("Functioning",F92)))</formula>
    </cfRule>
  </conditionalFormatting>
  <conditionalFormatting sqref="F130:F131">
    <cfRule type="beginsWith" dxfId="89" priority="22" stopIfTrue="1" operator="beginsWith" text="Functioning At Risk">
      <formula>LEFT(F130,LEN("Functioning At Risk"))="Functioning At Risk"</formula>
    </cfRule>
    <cfRule type="beginsWith" dxfId="88" priority="23" stopIfTrue="1" operator="beginsWith" text="Not Functioning">
      <formula>LEFT(F130,LEN("Not Functioning"))="Not Functioning"</formula>
    </cfRule>
    <cfRule type="containsText" dxfId="87" priority="24" operator="containsText" text="Functioning">
      <formula>NOT(ISERROR(SEARCH("Functioning",F130)))</formula>
    </cfRule>
  </conditionalFormatting>
  <conditionalFormatting sqref="F168:F169">
    <cfRule type="beginsWith" dxfId="86" priority="19" stopIfTrue="1" operator="beginsWith" text="Functioning At Risk">
      <formula>LEFT(F168,LEN("Functioning At Risk"))="Functioning At Risk"</formula>
    </cfRule>
    <cfRule type="beginsWith" dxfId="85" priority="20" stopIfTrue="1" operator="beginsWith" text="Not Functioning">
      <formula>LEFT(F168,LEN("Not Functioning"))="Not Functioning"</formula>
    </cfRule>
    <cfRule type="containsText" dxfId="84" priority="21" operator="containsText" text="Functioning">
      <formula>NOT(ISERROR(SEARCH("Functioning",F168)))</formula>
    </cfRule>
  </conditionalFormatting>
  <conditionalFormatting sqref="F206:F207">
    <cfRule type="beginsWith" dxfId="83" priority="16" stopIfTrue="1" operator="beginsWith" text="Functioning At Risk">
      <formula>LEFT(F206,LEN("Functioning At Risk"))="Functioning At Risk"</formula>
    </cfRule>
    <cfRule type="beginsWith" dxfId="82" priority="17" stopIfTrue="1" operator="beginsWith" text="Not Functioning">
      <formula>LEFT(F206,LEN("Not Functioning"))="Not Functioning"</formula>
    </cfRule>
    <cfRule type="containsText" dxfId="81" priority="18" operator="containsText" text="Functioning">
      <formula>NOT(ISERROR(SEARCH("Functioning",F206)))</formula>
    </cfRule>
  </conditionalFormatting>
  <conditionalFormatting sqref="F244:F245">
    <cfRule type="beginsWith" dxfId="80" priority="13" stopIfTrue="1" operator="beginsWith" text="Functioning At Risk">
      <formula>LEFT(F244,LEN("Functioning At Risk"))="Functioning At Risk"</formula>
    </cfRule>
    <cfRule type="beginsWith" dxfId="79" priority="14" stopIfTrue="1" operator="beginsWith" text="Not Functioning">
      <formula>LEFT(F244,LEN("Not Functioning"))="Not Functioning"</formula>
    </cfRule>
    <cfRule type="containsText" dxfId="78" priority="15" operator="containsText" text="Functioning">
      <formula>NOT(ISERROR(SEARCH("Functioning",F244)))</formula>
    </cfRule>
  </conditionalFormatting>
  <conditionalFormatting sqref="F282:F283">
    <cfRule type="beginsWith" dxfId="77" priority="10" stopIfTrue="1" operator="beginsWith" text="Functioning At Risk">
      <formula>LEFT(F282,LEN("Functioning At Risk"))="Functioning At Risk"</formula>
    </cfRule>
    <cfRule type="beginsWith" dxfId="76" priority="11" stopIfTrue="1" operator="beginsWith" text="Not Functioning">
      <formula>LEFT(F282,LEN("Not Functioning"))="Not Functioning"</formula>
    </cfRule>
    <cfRule type="containsText" dxfId="75" priority="12" operator="containsText" text="Functioning">
      <formula>NOT(ISERROR(SEARCH("Functioning",F282)))</formula>
    </cfRule>
  </conditionalFormatting>
  <conditionalFormatting sqref="F320:F321">
    <cfRule type="beginsWith" dxfId="74" priority="7" stopIfTrue="1" operator="beginsWith" text="Functioning At Risk">
      <formula>LEFT(F320,LEN("Functioning At Risk"))="Functioning At Risk"</formula>
    </cfRule>
    <cfRule type="beginsWith" dxfId="73" priority="8" stopIfTrue="1" operator="beginsWith" text="Not Functioning">
      <formula>LEFT(F320,LEN("Not Functioning"))="Not Functioning"</formula>
    </cfRule>
    <cfRule type="containsText" dxfId="72" priority="9" operator="containsText" text="Functioning">
      <formula>NOT(ISERROR(SEARCH("Functioning",F320)))</formula>
    </cfRule>
  </conditionalFormatting>
  <conditionalFormatting sqref="F358:F359">
    <cfRule type="beginsWith" dxfId="71" priority="4" stopIfTrue="1" operator="beginsWith" text="Functioning At Risk">
      <formula>LEFT(F358,LEN("Functioning At Risk"))="Functioning At Risk"</formula>
    </cfRule>
    <cfRule type="beginsWith" dxfId="70" priority="5" stopIfTrue="1" operator="beginsWith" text="Not Functioning">
      <formula>LEFT(F358,LEN("Not Functioning"))="Not Functioning"</formula>
    </cfRule>
    <cfRule type="containsText" dxfId="69" priority="6" operator="containsText" text="Functioning">
      <formula>NOT(ISERROR(SEARCH("Functioning",F358)))</formula>
    </cfRule>
  </conditionalFormatting>
  <conditionalFormatting sqref="F396:F397">
    <cfRule type="beginsWith" dxfId="68" priority="1" stopIfTrue="1" operator="beginsWith" text="Functioning At Risk">
      <formula>LEFT(F396,LEN("Functioning At Risk"))="Functioning At Risk"</formula>
    </cfRule>
    <cfRule type="beginsWith" dxfId="67" priority="2" stopIfTrue="1" operator="beginsWith" text="Not Functioning">
      <formula>LEFT(F396,LEN("Not Functioning"))="Not Functioning"</formula>
    </cfRule>
    <cfRule type="containsText" dxfId="66" priority="3" operator="containsText" text="Functioning">
      <formula>NOT(ISERROR(SEARCH("Functioning",F396)))</formula>
    </cfRule>
  </conditionalFormatting>
  <dataValidations count="11">
    <dataValidation allowBlank="1" showErrorMessage="1" prompt="Select catchment conditon level from the completed catchment assessment form. " sqref="E41:E43 E79:E81 E117:E119 E155:E157 E193:E195 E231:E233 E269:E271 E307:E309 E345:E347 E383:E385 E3:E5"/>
    <dataValidation type="decimal" allowBlank="1" showInputMessage="1" showErrorMessage="1" prompt="The user should input a value for either basal area or density, not both. " sqref="E18:E19 E56:E57 E94:E95 E132:E133 E170:E171 E208:E209 E246:E247 E284:E285 E322:E323 E360:E361 E398:E399">
      <formula1>0</formula1>
      <formula2>5280</formula2>
    </dataValidation>
    <dataValidation type="decimal" allowBlank="1" showInputMessage="1" showErrorMessage="1" sqref="E14:E17 E52:E55 E90:E93 E128:E131 E166:E169 E204:E207 E242:E245 E280:E283 E318:E321 E356:E359 E394:E397">
      <formula1>0</formula1>
      <formula2>5280</formula2>
    </dataValidation>
    <dataValidation allowBlank="1" showInputMessage="1" showErrorMessage="1" prompt="This measurement method should be used in combination with either Erosion Rate or Dominant BEHI/NBS." sqref="E13 E51 E89 E127 E165 E203 E241 E279 E317 E355 E393"/>
    <dataValidation allowBlank="1" showInputMessage="1" showErrorMessage="1" prompt="The user should input a value for either BEHI/NBS or Erosion Rate, not both. " sqref="E11 E49 E87 E125 E163 E201 E239 E277 E315 E353 E391"/>
    <dataValidation type="custom" allowBlank="1" showInputMessage="1" showErrorMessage="1" prompt="The user can only input a value for either leaf litter processing rate or shredders for organic matter, not both. " sqref="E31 E69 E107 E145 E183 E221 E259 E297 E335 E373 E411">
      <formula1>E30=""</formula1>
    </dataValidation>
    <dataValidation type="custom" allowBlank="1" showInputMessage="1" showErrorMessage="1" prompt="The user can only input a value for either leaf litter processing rate or shredders for organic matter, not both. " sqref="E30 E68 E106 E144 E182 E220 E258 E296 E334 E372 E410">
      <formula1>E31=""</formula1>
    </dataValidation>
    <dataValidation type="list" allowBlank="1" showInputMessage="1" showErrorMessage="1" prompt="Select the dominant BEHI/NBS.  _x000a_If erosion rate was measured select blank. The user should only input a value for either BEHI/NBS or Erosion Rate, not both. " sqref="E12 E50 E88 E126 E164 E202 E240 E278 E316 E354 E392">
      <formula1>BEHI.NBS</formula1>
    </dataValidation>
    <dataValidation allowBlank="1" showErrorMessage="1" sqref="E60 E22 E98 E6 E136 E44 E174 E82 E212 E120 E250 E158 E288 E196 E326 E234 E364 E272 E348 E310 E402 E386"/>
    <dataValidation allowBlank="1" showErrorMessage="1" prompt="Leave field value blank if not a coldwater stream." sqref="E256 E28 E66 E104 E142 E180 E218 E294 E332 E370 E408"/>
    <dataValidation allowBlank="1" showInputMessage="1" showErrorMessage="1" prompt="The user should input a value for either basal area or density, not both. " sqref="E20:E21 E58:E59 E96:E97 E134:E135 E172:E173 E210:E211 E248:E249 E286:E287 E324:E325 E362:E363 E400:E401"/>
  </dataValidations>
  <pageMargins left="0.25" right="0.25" top="0.75" bottom="0.75" header="0.3" footer="0.3"/>
  <pageSetup scale="59" fitToHeight="0" orientation="landscape" r:id="rId1"/>
  <rowBreaks count="10" manualBreakCount="10">
    <brk id="37" max="16383" man="1"/>
    <brk id="75" max="16383" man="1"/>
    <brk id="112" max="16383" man="1"/>
    <brk id="151" max="16383" man="1"/>
    <brk id="189" max="16383" man="1"/>
    <brk id="227" max="16383" man="1"/>
    <brk id="265" max="16383" man="1"/>
    <brk id="303" max="16383" man="1"/>
    <brk id="341" max="16383" man="1"/>
    <brk id="379"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U36"/>
  <sheetViews>
    <sheetView workbookViewId="0">
      <selection activeCell="E8" sqref="E8"/>
    </sheetView>
  </sheetViews>
  <sheetFormatPr defaultRowHeight="15" x14ac:dyDescent="0.25"/>
  <cols>
    <col min="1" max="1" width="19.7109375" bestFit="1" customWidth="1"/>
    <col min="2" max="2" width="25.5703125" customWidth="1"/>
    <col min="3" max="3" width="14.7109375" customWidth="1"/>
    <col min="4" max="4" width="14.28515625" customWidth="1"/>
    <col min="5" max="5" width="10.28515625" style="14" customWidth="1"/>
    <col min="6" max="15" width="10.7109375" style="14" customWidth="1"/>
  </cols>
  <sheetData>
    <row r="2" spans="1:15" ht="21" x14ac:dyDescent="0.25">
      <c r="A2" s="514" t="s">
        <v>289</v>
      </c>
      <c r="B2" s="515"/>
      <c r="C2" s="515"/>
      <c r="D2" s="515"/>
      <c r="E2" s="515"/>
      <c r="F2" s="515"/>
      <c r="G2" s="515"/>
      <c r="H2" s="515"/>
      <c r="I2" s="515"/>
      <c r="J2" s="515"/>
      <c r="K2" s="515"/>
      <c r="L2" s="515"/>
      <c r="M2" s="515"/>
      <c r="N2" s="515"/>
      <c r="O2" s="516"/>
    </row>
    <row r="3" spans="1:15" ht="18.75" x14ac:dyDescent="0.25">
      <c r="A3" s="572" t="s">
        <v>1</v>
      </c>
      <c r="B3" s="572" t="s">
        <v>2</v>
      </c>
      <c r="C3" s="577" t="s">
        <v>88</v>
      </c>
      <c r="D3" s="577" t="s">
        <v>89</v>
      </c>
      <c r="E3" s="572" t="s">
        <v>346</v>
      </c>
      <c r="F3" s="574" t="s">
        <v>349</v>
      </c>
      <c r="G3" s="575"/>
      <c r="H3" s="575"/>
      <c r="I3" s="575"/>
      <c r="J3" s="575"/>
      <c r="K3" s="575"/>
      <c r="L3" s="575"/>
      <c r="M3" s="575"/>
      <c r="N3" s="575"/>
      <c r="O3" s="576"/>
    </row>
    <row r="4" spans="1:15" s="14" customFormat="1" ht="18.75" x14ac:dyDescent="0.25">
      <c r="A4" s="573"/>
      <c r="B4" s="573"/>
      <c r="C4" s="578"/>
      <c r="D4" s="578"/>
      <c r="E4" s="573"/>
      <c r="F4" s="295" t="e">
        <f>IF('Monitoring Data'!B39="",#N/A,'Monitoring Data'!B39)</f>
        <v>#N/A</v>
      </c>
      <c r="G4" s="295" t="e">
        <f>IF('Monitoring Data'!B77="",#N/A,'Monitoring Data'!B77)</f>
        <v>#N/A</v>
      </c>
      <c r="H4" s="295" t="e">
        <f>IF('Monitoring Data'!B115="",#N/A,'Monitoring Data'!B115)</f>
        <v>#N/A</v>
      </c>
      <c r="I4" s="295" t="e">
        <f>IF('Monitoring Data'!B153="",#N/A,'Monitoring Data'!B153)</f>
        <v>#N/A</v>
      </c>
      <c r="J4" s="295" t="e">
        <f>IF('Monitoring Data'!B191="",#N/A,'Monitoring Data'!B191)</f>
        <v>#N/A</v>
      </c>
      <c r="K4" s="295" t="e">
        <f>IF('Monitoring Data'!B229="",#N/A,'Monitoring Data'!B229)</f>
        <v>#N/A</v>
      </c>
      <c r="L4" s="295" t="e">
        <f>IF('Monitoring Data'!B267="",#N/A,'Monitoring Data'!B267)</f>
        <v>#N/A</v>
      </c>
      <c r="M4" s="295" t="e">
        <f>IF('Monitoring Data'!B305="",#N/A,'Monitoring Data'!B305)</f>
        <v>#N/A</v>
      </c>
      <c r="N4" s="295" t="e">
        <f>IF('Monitoring Data'!B343="",#N/A,'Monitoring Data'!B343)</f>
        <v>#N/A</v>
      </c>
      <c r="O4" s="295" t="e">
        <f>IF('Monitoring Data'!B381="",#N/A,'Monitoring Data'!B381)</f>
        <v>#N/A</v>
      </c>
    </row>
    <row r="5" spans="1:15" ht="15.75" x14ac:dyDescent="0.25">
      <c r="A5" s="583" t="s">
        <v>78</v>
      </c>
      <c r="B5" s="147" t="s">
        <v>177</v>
      </c>
      <c r="C5" s="288" t="str">
        <f>'Quantification Tool'!G44</f>
        <v/>
      </c>
      <c r="D5" s="288" t="str">
        <f>'Quantification Tool'!G82</f>
        <v/>
      </c>
      <c r="E5" s="93" t="str">
        <f>'Monitoring Data'!G3</f>
        <v/>
      </c>
      <c r="F5" s="93" t="str">
        <f>'Monitoring Data'!G41</f>
        <v/>
      </c>
      <c r="G5" s="93" t="str">
        <f>'Monitoring Data'!G79</f>
        <v/>
      </c>
      <c r="H5" s="93" t="str">
        <f>'Monitoring Data'!G117</f>
        <v/>
      </c>
      <c r="I5" s="93" t="str">
        <f>'Monitoring Data'!G155</f>
        <v/>
      </c>
      <c r="J5" s="93" t="str">
        <f>'Monitoring Data'!G193</f>
        <v/>
      </c>
      <c r="K5" s="93" t="str">
        <f>'Monitoring Data'!G231</f>
        <v/>
      </c>
      <c r="L5" s="93" t="str">
        <f>'Monitoring Data'!G269</f>
        <v/>
      </c>
      <c r="M5" s="93" t="str">
        <f>'Monitoring Data'!G307</f>
        <v/>
      </c>
      <c r="N5" s="93" t="str">
        <f>'Monitoring Data'!G345</f>
        <v/>
      </c>
      <c r="O5" s="93" t="str">
        <f>'Monitoring Data'!G383</f>
        <v/>
      </c>
    </row>
    <row r="6" spans="1:15" ht="15.75" x14ac:dyDescent="0.25">
      <c r="A6" s="584"/>
      <c r="B6" s="147" t="s">
        <v>328</v>
      </c>
      <c r="C6" s="288" t="str">
        <f>'Quantification Tool'!G45</f>
        <v/>
      </c>
      <c r="D6" s="288" t="str">
        <f>'Quantification Tool'!G83</f>
        <v/>
      </c>
      <c r="E6" s="93" t="str">
        <f>'Monitoring Data'!G4</f>
        <v/>
      </c>
      <c r="F6" s="93" t="str">
        <f>'Monitoring Data'!G42</f>
        <v/>
      </c>
      <c r="G6" s="93" t="str">
        <f>'Monitoring Data'!G80</f>
        <v/>
      </c>
      <c r="H6" s="93" t="str">
        <f>'Monitoring Data'!G118</f>
        <v/>
      </c>
      <c r="I6" s="93" t="str">
        <f>'Monitoring Data'!G156</f>
        <v/>
      </c>
      <c r="J6" s="93" t="str">
        <f>'Monitoring Data'!G194</f>
        <v/>
      </c>
      <c r="K6" s="93" t="str">
        <f>'Monitoring Data'!G232</f>
        <v/>
      </c>
      <c r="L6" s="93" t="str">
        <f>'Monitoring Data'!G270</f>
        <v/>
      </c>
      <c r="M6" s="93" t="str">
        <f>'Monitoring Data'!G308</f>
        <v/>
      </c>
      <c r="N6" s="93" t="str">
        <f>'Monitoring Data'!G346</f>
        <v/>
      </c>
      <c r="O6" s="93" t="str">
        <f>'Monitoring Data'!G384</f>
        <v/>
      </c>
    </row>
    <row r="7" spans="1:15" ht="15.75" x14ac:dyDescent="0.25">
      <c r="A7" s="296" t="s">
        <v>6</v>
      </c>
      <c r="B7" s="148" t="s">
        <v>7</v>
      </c>
      <c r="C7" s="288" t="str">
        <f>'Quantification Tool'!G48</f>
        <v/>
      </c>
      <c r="D7" s="288" t="str">
        <f>'Quantification Tool'!G86</f>
        <v/>
      </c>
      <c r="E7" s="93" t="str">
        <f>'Monitoring Data'!G7</f>
        <v/>
      </c>
      <c r="F7" s="93" t="str">
        <f>'Monitoring Data'!G45</f>
        <v/>
      </c>
      <c r="G7" s="93" t="str">
        <f>'Monitoring Data'!G83</f>
        <v/>
      </c>
      <c r="H7" s="93" t="str">
        <f>'Monitoring Data'!G121</f>
        <v/>
      </c>
      <c r="I7" s="93" t="str">
        <f>'Monitoring Data'!G159</f>
        <v/>
      </c>
      <c r="J7" s="93" t="str">
        <f>'Monitoring Data'!G197</f>
        <v/>
      </c>
      <c r="K7" s="93" t="str">
        <f>'Monitoring Data'!G235</f>
        <v/>
      </c>
      <c r="L7" s="93" t="str">
        <f>'Monitoring Data'!G273</f>
        <v/>
      </c>
      <c r="M7" s="93" t="str">
        <f>'Monitoring Data'!G311</f>
        <v/>
      </c>
      <c r="N7" s="93" t="str">
        <f>'Monitoring Data'!G349</f>
        <v/>
      </c>
      <c r="O7" s="93" t="str">
        <f>'Monitoring Data'!G387</f>
        <v/>
      </c>
    </row>
    <row r="8" spans="1:15" ht="15.75" x14ac:dyDescent="0.25">
      <c r="A8" s="585" t="s">
        <v>30</v>
      </c>
      <c r="B8" s="149" t="s">
        <v>31</v>
      </c>
      <c r="C8" s="288" t="str">
        <f>'Quantification Tool'!G50</f>
        <v/>
      </c>
      <c r="D8" s="288" t="str">
        <f>'Quantification Tool'!G88</f>
        <v/>
      </c>
      <c r="E8" s="93" t="str">
        <f>'Monitoring Data'!G9</f>
        <v/>
      </c>
      <c r="F8" s="93" t="str">
        <f>'Monitoring Data'!G47</f>
        <v/>
      </c>
      <c r="G8" s="93" t="str">
        <f>'Monitoring Data'!G85</f>
        <v/>
      </c>
      <c r="H8" s="93" t="str">
        <f>'Monitoring Data'!G123</f>
        <v/>
      </c>
      <c r="I8" s="93" t="str">
        <f>'Monitoring Data'!G161</f>
        <v/>
      </c>
      <c r="J8" s="93" t="str">
        <f>'Monitoring Data'!G199</f>
        <v/>
      </c>
      <c r="K8" s="93" t="str">
        <f>'Monitoring Data'!G237</f>
        <v/>
      </c>
      <c r="L8" s="93" t="str">
        <f>'Monitoring Data'!G275</f>
        <v/>
      </c>
      <c r="M8" s="93" t="str">
        <f>'Monitoring Data'!G313</f>
        <v/>
      </c>
      <c r="N8" s="93" t="str">
        <f>'Monitoring Data'!G351</f>
        <v/>
      </c>
      <c r="O8" s="93" t="str">
        <f>'Monitoring Data'!G389</f>
        <v/>
      </c>
    </row>
    <row r="9" spans="1:15" ht="15.75" x14ac:dyDescent="0.25">
      <c r="A9" s="586"/>
      <c r="B9" s="149" t="s">
        <v>54</v>
      </c>
      <c r="C9" s="288" t="str">
        <f>'Quantification Tool'!G52</f>
        <v/>
      </c>
      <c r="D9" s="288" t="str">
        <f>'Quantification Tool'!G90</f>
        <v/>
      </c>
      <c r="E9" s="93" t="str">
        <f>'Monitoring Data'!G11</f>
        <v/>
      </c>
      <c r="F9" s="93" t="str">
        <f>'Monitoring Data'!G49</f>
        <v/>
      </c>
      <c r="G9" s="93" t="str">
        <f>'Monitoring Data'!G87</f>
        <v/>
      </c>
      <c r="H9" s="93" t="str">
        <f>'Monitoring Data'!G125</f>
        <v/>
      </c>
      <c r="I9" s="93" t="str">
        <f>'Monitoring Data'!G163</f>
        <v/>
      </c>
      <c r="J9" s="93" t="str">
        <f>'Monitoring Data'!G201</f>
        <v/>
      </c>
      <c r="K9" s="93" t="str">
        <f>'Monitoring Data'!G239</f>
        <v/>
      </c>
      <c r="L9" s="93" t="str">
        <f>'Monitoring Data'!G277</f>
        <v/>
      </c>
      <c r="M9" s="93" t="str">
        <f>'Monitoring Data'!G315</f>
        <v/>
      </c>
      <c r="N9" s="93" t="str">
        <f>'Monitoring Data'!G353</f>
        <v/>
      </c>
      <c r="O9" s="93" t="str">
        <f>'Monitoring Data'!G391</f>
        <v/>
      </c>
    </row>
    <row r="10" spans="1:15" ht="15.75" x14ac:dyDescent="0.25">
      <c r="A10" s="586"/>
      <c r="B10" s="149" t="s">
        <v>56</v>
      </c>
      <c r="C10" s="288" t="str">
        <f>'Quantification Tool'!G55</f>
        <v/>
      </c>
      <c r="D10" s="288" t="str">
        <f>'Quantification Tool'!G93</f>
        <v/>
      </c>
      <c r="E10" s="93" t="str">
        <f>'Monitoring Data'!G14</f>
        <v/>
      </c>
      <c r="F10" s="93" t="str">
        <f>'Monitoring Data'!G52</f>
        <v/>
      </c>
      <c r="G10" s="93" t="str">
        <f>'Monitoring Data'!G90</f>
        <v/>
      </c>
      <c r="H10" s="93" t="str">
        <f>'Monitoring Data'!G128</f>
        <v/>
      </c>
      <c r="I10" s="93" t="str">
        <f>'Monitoring Data'!G166</f>
        <v/>
      </c>
      <c r="J10" s="93" t="str">
        <f>'Monitoring Data'!G204</f>
        <v/>
      </c>
      <c r="K10" s="93" t="str">
        <f>'Monitoring Data'!G242</f>
        <v/>
      </c>
      <c r="L10" s="93" t="str">
        <f>'Monitoring Data'!G280</f>
        <v/>
      </c>
      <c r="M10" s="93" t="str">
        <f>'Monitoring Data'!G318</f>
        <v/>
      </c>
      <c r="N10" s="93" t="str">
        <f>'Monitoring Data'!G356</f>
        <v/>
      </c>
      <c r="O10" s="93" t="str">
        <f>'Monitoring Data'!G394</f>
        <v/>
      </c>
    </row>
    <row r="11" spans="1:15" ht="15.75" x14ac:dyDescent="0.25">
      <c r="A11" s="586"/>
      <c r="B11" s="149" t="s">
        <v>250</v>
      </c>
      <c r="C11" s="288" t="str">
        <f>'Quantification Tool'!G63</f>
        <v/>
      </c>
      <c r="D11" s="288" t="str">
        <f>'Quantification Tool'!G101</f>
        <v/>
      </c>
      <c r="E11" s="93" t="str">
        <f>'Monitoring Data'!G22</f>
        <v/>
      </c>
      <c r="F11" s="93" t="str">
        <f>'Monitoring Data'!G60</f>
        <v/>
      </c>
      <c r="G11" s="93" t="str">
        <f>'Monitoring Data'!G98</f>
        <v/>
      </c>
      <c r="H11" s="93" t="str">
        <f>'Monitoring Data'!G136</f>
        <v/>
      </c>
      <c r="I11" s="93" t="str">
        <f>'Monitoring Data'!G174</f>
        <v/>
      </c>
      <c r="J11" s="93" t="str">
        <f>'Monitoring Data'!G212</f>
        <v/>
      </c>
      <c r="K11" s="93" t="str">
        <f>'Monitoring Data'!G250</f>
        <v/>
      </c>
      <c r="L11" s="93" t="str">
        <f>'Monitoring Data'!G288</f>
        <v/>
      </c>
      <c r="M11" s="93" t="str">
        <f>'Monitoring Data'!G326</f>
        <v/>
      </c>
      <c r="N11" s="93" t="str">
        <f>'Monitoring Data'!G364</f>
        <v/>
      </c>
      <c r="O11" s="93" t="str">
        <f>'Monitoring Data'!G402</f>
        <v/>
      </c>
    </row>
    <row r="12" spans="1:15" ht="15.75" x14ac:dyDescent="0.25">
      <c r="A12" s="586"/>
      <c r="B12" s="149" t="s">
        <v>57</v>
      </c>
      <c r="C12" s="288" t="str">
        <f>'Quantification Tool'!G64</f>
        <v/>
      </c>
      <c r="D12" s="288" t="str">
        <f>'Quantification Tool'!G102</f>
        <v/>
      </c>
      <c r="E12" s="93" t="str">
        <f>'Monitoring Data'!G23</f>
        <v/>
      </c>
      <c r="F12" s="93" t="str">
        <f>'Monitoring Data'!G61</f>
        <v/>
      </c>
      <c r="G12" s="93" t="str">
        <f>'Monitoring Data'!G99</f>
        <v/>
      </c>
      <c r="H12" s="93" t="str">
        <f>'Monitoring Data'!G137</f>
        <v/>
      </c>
      <c r="I12" s="93" t="str">
        <f>'Monitoring Data'!G175</f>
        <v/>
      </c>
      <c r="J12" s="93" t="str">
        <f>'Monitoring Data'!G213</f>
        <v/>
      </c>
      <c r="K12" s="93" t="str">
        <f>'Monitoring Data'!G251</f>
        <v/>
      </c>
      <c r="L12" s="93" t="str">
        <f>'Monitoring Data'!G289</f>
        <v/>
      </c>
      <c r="M12" s="93" t="str">
        <f>'Monitoring Data'!G327</f>
        <v/>
      </c>
      <c r="N12" s="93" t="str">
        <f>'Monitoring Data'!G365</f>
        <v/>
      </c>
      <c r="O12" s="93" t="str">
        <f>'Monitoring Data'!G403</f>
        <v/>
      </c>
    </row>
    <row r="13" spans="1:15" ht="15.75" x14ac:dyDescent="0.25">
      <c r="A13" s="587"/>
      <c r="B13" s="149" t="s">
        <v>63</v>
      </c>
      <c r="C13" s="288" t="str">
        <f>'Quantification Tool'!G68</f>
        <v/>
      </c>
      <c r="D13" s="288" t="str">
        <f>'Quantification Tool'!G106</f>
        <v/>
      </c>
      <c r="E13" s="93" t="str">
        <f>'Monitoring Data'!G27</f>
        <v/>
      </c>
      <c r="F13" s="93" t="str">
        <f>'Monitoring Data'!G65</f>
        <v/>
      </c>
      <c r="G13" s="93" t="str">
        <f>'Monitoring Data'!G103</f>
        <v/>
      </c>
      <c r="H13" s="93" t="str">
        <f>'Monitoring Data'!G141</f>
        <v/>
      </c>
      <c r="I13" s="93" t="str">
        <f>'Monitoring Data'!G179</f>
        <v/>
      </c>
      <c r="J13" s="93" t="str">
        <f>'Monitoring Data'!G217</f>
        <v/>
      </c>
      <c r="K13" s="93" t="str">
        <f>'Monitoring Data'!G255</f>
        <v/>
      </c>
      <c r="L13" s="93" t="str">
        <f>'Monitoring Data'!G293</f>
        <v/>
      </c>
      <c r="M13" s="93" t="str">
        <f>'Monitoring Data'!G331</f>
        <v/>
      </c>
      <c r="N13" s="93" t="str">
        <f>'Monitoring Data'!G369</f>
        <v/>
      </c>
      <c r="O13" s="93" t="str">
        <f>'Monitoring Data'!G407</f>
        <v/>
      </c>
    </row>
    <row r="14" spans="1:15" ht="15.75" x14ac:dyDescent="0.25">
      <c r="A14" s="588" t="s">
        <v>68</v>
      </c>
      <c r="B14" s="150" t="s">
        <v>161</v>
      </c>
      <c r="C14" s="288" t="str">
        <f>'Quantification Tool'!G69</f>
        <v/>
      </c>
      <c r="D14" s="288" t="str">
        <f>'Quantification Tool'!G107</f>
        <v/>
      </c>
      <c r="E14" s="93" t="str">
        <f>'Monitoring Data'!G28</f>
        <v/>
      </c>
      <c r="F14" s="93" t="str">
        <f>'Monitoring Data'!G66</f>
        <v/>
      </c>
      <c r="G14" s="93" t="str">
        <f>'Monitoring Data'!G104</f>
        <v/>
      </c>
      <c r="H14" s="93" t="str">
        <f>'Monitoring Data'!G142</f>
        <v/>
      </c>
      <c r="I14" s="93" t="str">
        <f>'Monitoring Data'!G180</f>
        <v/>
      </c>
      <c r="J14" s="93" t="str">
        <f>'Monitoring Data'!G218</f>
        <v/>
      </c>
      <c r="K14" s="93" t="str">
        <f>'Monitoring Data'!G256</f>
        <v/>
      </c>
      <c r="L14" s="93" t="str">
        <f>'Monitoring Data'!G294</f>
        <v/>
      </c>
      <c r="M14" s="93" t="str">
        <f>'Monitoring Data'!G332</f>
        <v/>
      </c>
      <c r="N14" s="93" t="str">
        <f>'Monitoring Data'!G370</f>
        <v/>
      </c>
      <c r="O14" s="93" t="str">
        <f>'Monitoring Data'!G408</f>
        <v/>
      </c>
    </row>
    <row r="15" spans="1:15" ht="15.75" x14ac:dyDescent="0.25">
      <c r="A15" s="589"/>
      <c r="B15" s="150" t="s">
        <v>194</v>
      </c>
      <c r="C15" s="288" t="str">
        <f>'Quantification Tool'!G70</f>
        <v/>
      </c>
      <c r="D15" s="288" t="str">
        <f>'Quantification Tool'!G108</f>
        <v/>
      </c>
      <c r="E15" s="93" t="str">
        <f>'Monitoring Data'!G29</f>
        <v/>
      </c>
      <c r="F15" s="93" t="str">
        <f>'Monitoring Data'!G67</f>
        <v/>
      </c>
      <c r="G15" s="93" t="str">
        <f>'Monitoring Data'!G105</f>
        <v/>
      </c>
      <c r="H15" s="93" t="str">
        <f>'Monitoring Data'!G143</f>
        <v/>
      </c>
      <c r="I15" s="93" t="str">
        <f>'Monitoring Data'!G181</f>
        <v/>
      </c>
      <c r="J15" s="93" t="str">
        <f>'Monitoring Data'!G219</f>
        <v/>
      </c>
      <c r="K15" s="93" t="str">
        <f>'Monitoring Data'!G257</f>
        <v/>
      </c>
      <c r="L15" s="93" t="str">
        <f>'Monitoring Data'!G295</f>
        <v/>
      </c>
      <c r="M15" s="93" t="str">
        <f>'Monitoring Data'!G333</f>
        <v/>
      </c>
      <c r="N15" s="93" t="str">
        <f>'Monitoring Data'!G371</f>
        <v/>
      </c>
      <c r="O15" s="93" t="str">
        <f>'Monitoring Data'!G409</f>
        <v/>
      </c>
    </row>
    <row r="16" spans="1:15" ht="15.75" x14ac:dyDescent="0.25">
      <c r="A16" s="589"/>
      <c r="B16" s="150" t="s">
        <v>91</v>
      </c>
      <c r="C16" s="288" t="str">
        <f>'Quantification Tool'!G71</f>
        <v/>
      </c>
      <c r="D16" s="288" t="str">
        <f>'Quantification Tool'!G109</f>
        <v/>
      </c>
      <c r="E16" s="93" t="str">
        <f>'Monitoring Data'!G30</f>
        <v/>
      </c>
      <c r="F16" s="93" t="str">
        <f>'Monitoring Data'!G68</f>
        <v/>
      </c>
      <c r="G16" s="93" t="str">
        <f>'Monitoring Data'!G106</f>
        <v/>
      </c>
      <c r="H16" s="93" t="str">
        <f>'Monitoring Data'!G144</f>
        <v/>
      </c>
      <c r="I16" s="93" t="str">
        <f>'Monitoring Data'!G182</f>
        <v/>
      </c>
      <c r="J16" s="93" t="str">
        <f>'Monitoring Data'!G220</f>
        <v/>
      </c>
      <c r="K16" s="93" t="str">
        <f>'Monitoring Data'!G258</f>
        <v/>
      </c>
      <c r="L16" s="93" t="str">
        <f>'Monitoring Data'!G296</f>
        <v/>
      </c>
      <c r="M16" s="93" t="str">
        <f>'Monitoring Data'!G334</f>
        <v/>
      </c>
      <c r="N16" s="93" t="str">
        <f>'Monitoring Data'!G372</f>
        <v/>
      </c>
      <c r="O16" s="93" t="str">
        <f>'Monitoring Data'!G410</f>
        <v/>
      </c>
    </row>
    <row r="17" spans="1:21" ht="15.75" x14ac:dyDescent="0.25">
      <c r="A17" s="589"/>
      <c r="B17" s="150" t="s">
        <v>162</v>
      </c>
      <c r="C17" s="288" t="str">
        <f>'Quantification Tool'!G73</f>
        <v/>
      </c>
      <c r="D17" s="288" t="str">
        <f>'Quantification Tool'!G111</f>
        <v/>
      </c>
      <c r="E17" s="93" t="str">
        <f>'Monitoring Data'!G32</f>
        <v/>
      </c>
      <c r="F17" s="93" t="str">
        <f>'Monitoring Data'!G70</f>
        <v/>
      </c>
      <c r="G17" s="93" t="str">
        <f>'Monitoring Data'!G108</f>
        <v/>
      </c>
      <c r="H17" s="93" t="str">
        <f>'Monitoring Data'!G146</f>
        <v/>
      </c>
      <c r="I17" s="93" t="str">
        <f>'Monitoring Data'!G184</f>
        <v/>
      </c>
      <c r="J17" s="93" t="str">
        <f>'Monitoring Data'!G222</f>
        <v/>
      </c>
      <c r="K17" s="93" t="str">
        <f>'Monitoring Data'!G260</f>
        <v/>
      </c>
      <c r="L17" s="93" t="str">
        <f>'Monitoring Data'!G298</f>
        <v/>
      </c>
      <c r="M17" s="93" t="str">
        <f>'Monitoring Data'!G336</f>
        <v/>
      </c>
      <c r="N17" s="93" t="str">
        <f>'Monitoring Data'!G374</f>
        <v/>
      </c>
      <c r="O17" s="93" t="str">
        <f>'Monitoring Data'!G412</f>
        <v/>
      </c>
    </row>
    <row r="18" spans="1:21" ht="15.75" x14ac:dyDescent="0.25">
      <c r="A18" s="590"/>
      <c r="B18" s="150" t="s">
        <v>163</v>
      </c>
      <c r="C18" s="288" t="str">
        <f>'Quantification Tool'!G74</f>
        <v/>
      </c>
      <c r="D18" s="288" t="str">
        <f>'Quantification Tool'!G112</f>
        <v/>
      </c>
      <c r="E18" s="93" t="str">
        <f>'Monitoring Data'!G33</f>
        <v/>
      </c>
      <c r="F18" s="93" t="str">
        <f>'Monitoring Data'!G71</f>
        <v/>
      </c>
      <c r="G18" s="93" t="str">
        <f>'Monitoring Data'!G109</f>
        <v/>
      </c>
      <c r="H18" s="93" t="str">
        <f>'Monitoring Data'!G147</f>
        <v/>
      </c>
      <c r="I18" s="93" t="str">
        <f>'Monitoring Data'!G185</f>
        <v/>
      </c>
      <c r="J18" s="93" t="str">
        <f>'Monitoring Data'!G223</f>
        <v/>
      </c>
      <c r="K18" s="93" t="str">
        <f>'Monitoring Data'!G261</f>
        <v/>
      </c>
      <c r="L18" s="93" t="str">
        <f>'Monitoring Data'!G299</f>
        <v/>
      </c>
      <c r="M18" s="93" t="str">
        <f>'Monitoring Data'!G337</f>
        <v/>
      </c>
      <c r="N18" s="93" t="str">
        <f>'Monitoring Data'!G375</f>
        <v/>
      </c>
      <c r="O18" s="93" t="str">
        <f>'Monitoring Data'!G413</f>
        <v/>
      </c>
    </row>
    <row r="19" spans="1:21" ht="15.75" x14ac:dyDescent="0.25">
      <c r="A19" s="565" t="s">
        <v>70</v>
      </c>
      <c r="B19" s="151" t="s">
        <v>93</v>
      </c>
      <c r="C19" s="288" t="str">
        <f>'Quantification Tool'!G75</f>
        <v/>
      </c>
      <c r="D19" s="288" t="str">
        <f>'Quantification Tool'!G113</f>
        <v/>
      </c>
      <c r="E19" s="93" t="str">
        <f>'Monitoring Data'!G34</f>
        <v/>
      </c>
      <c r="F19" s="93" t="str">
        <f>'Monitoring Data'!G72</f>
        <v/>
      </c>
      <c r="G19" s="93" t="str">
        <f>'Monitoring Data'!G110</f>
        <v/>
      </c>
      <c r="H19" s="93" t="str">
        <f>'Monitoring Data'!G148</f>
        <v/>
      </c>
      <c r="I19" s="93" t="str">
        <f>'Monitoring Data'!G186</f>
        <v/>
      </c>
      <c r="J19" s="93" t="str">
        <f>'Monitoring Data'!G224</f>
        <v/>
      </c>
      <c r="K19" s="93" t="str">
        <f>'Monitoring Data'!G262</f>
        <v/>
      </c>
      <c r="L19" s="93" t="str">
        <f>'Monitoring Data'!G300</f>
        <v/>
      </c>
      <c r="M19" s="93" t="str">
        <f>'Monitoring Data'!G338</f>
        <v/>
      </c>
      <c r="N19" s="93" t="str">
        <f>'Monitoring Data'!G376</f>
        <v/>
      </c>
      <c r="O19" s="93" t="str">
        <f>'Monitoring Data'!G414</f>
        <v/>
      </c>
    </row>
    <row r="20" spans="1:21" ht="15.75" x14ac:dyDescent="0.25">
      <c r="A20" s="566"/>
      <c r="B20" s="151" t="s">
        <v>146</v>
      </c>
      <c r="C20" s="288" t="str">
        <f>'Quantification Tool'!G77</f>
        <v/>
      </c>
      <c r="D20" s="288" t="str">
        <f>'Quantification Tool'!G115</f>
        <v/>
      </c>
      <c r="E20" s="93" t="str">
        <f>'Monitoring Data'!G36</f>
        <v/>
      </c>
      <c r="F20" s="93" t="str">
        <f>'Monitoring Data'!G74</f>
        <v/>
      </c>
      <c r="G20" s="93" t="str">
        <f>'Monitoring Data'!G112</f>
        <v/>
      </c>
      <c r="H20" s="93" t="str">
        <f>'Monitoring Data'!G150</f>
        <v/>
      </c>
      <c r="I20" s="93" t="str">
        <f>'Monitoring Data'!G188</f>
        <v/>
      </c>
      <c r="J20" s="93" t="str">
        <f>'Monitoring Data'!G226</f>
        <v/>
      </c>
      <c r="K20" s="93" t="str">
        <f>'Monitoring Data'!G264</f>
        <v/>
      </c>
      <c r="L20" s="93" t="str">
        <f>'Monitoring Data'!G302</f>
        <v/>
      </c>
      <c r="M20" s="93" t="str">
        <f>'Monitoring Data'!G340</f>
        <v/>
      </c>
      <c r="N20" s="93" t="str">
        <f>'Monitoring Data'!G378</f>
        <v/>
      </c>
      <c r="O20" s="93" t="str">
        <f>'Monitoring Data'!G416</f>
        <v/>
      </c>
    </row>
    <row r="23" spans="1:21" ht="21" x14ac:dyDescent="0.25">
      <c r="A23" s="514" t="s">
        <v>246</v>
      </c>
      <c r="B23" s="515"/>
      <c r="C23" s="515"/>
      <c r="D23" s="515"/>
      <c r="E23" s="515"/>
      <c r="F23" s="515"/>
      <c r="G23" s="515"/>
      <c r="H23" s="515"/>
      <c r="I23" s="515"/>
      <c r="J23" s="515"/>
      <c r="K23" s="515"/>
      <c r="L23" s="515"/>
      <c r="M23" s="515"/>
      <c r="N23" s="515"/>
      <c r="O23" s="516"/>
    </row>
    <row r="24" spans="1:21" ht="14.65" customHeight="1" x14ac:dyDescent="0.25">
      <c r="A24" s="579" t="s">
        <v>247</v>
      </c>
      <c r="B24" s="580"/>
      <c r="C24" s="570" t="s">
        <v>248</v>
      </c>
      <c r="D24" s="570" t="s">
        <v>249</v>
      </c>
      <c r="E24" s="572" t="s">
        <v>346</v>
      </c>
      <c r="F24" s="574" t="s">
        <v>349</v>
      </c>
      <c r="G24" s="575"/>
      <c r="H24" s="575"/>
      <c r="I24" s="575"/>
      <c r="J24" s="575"/>
      <c r="K24" s="575"/>
      <c r="L24" s="575"/>
      <c r="M24" s="575"/>
      <c r="N24" s="575"/>
      <c r="O24" s="576"/>
      <c r="P24" s="275"/>
      <c r="Q24" s="275"/>
      <c r="R24" s="14"/>
      <c r="S24" s="14"/>
      <c r="T24" s="14"/>
      <c r="U24" s="14"/>
    </row>
    <row r="25" spans="1:21" s="14" customFormat="1" ht="14.65" customHeight="1" x14ac:dyDescent="0.25">
      <c r="A25" s="581"/>
      <c r="B25" s="582"/>
      <c r="C25" s="571"/>
      <c r="D25" s="571"/>
      <c r="E25" s="573"/>
      <c r="F25" s="294" t="e">
        <f t="shared" ref="F25:O25" si="0">F4</f>
        <v>#N/A</v>
      </c>
      <c r="G25" s="294" t="e">
        <f t="shared" si="0"/>
        <v>#N/A</v>
      </c>
      <c r="H25" s="294" t="e">
        <f t="shared" si="0"/>
        <v>#N/A</v>
      </c>
      <c r="I25" s="294" t="e">
        <f t="shared" si="0"/>
        <v>#N/A</v>
      </c>
      <c r="J25" s="294" t="e">
        <f t="shared" si="0"/>
        <v>#N/A</v>
      </c>
      <c r="K25" s="294" t="e">
        <f t="shared" si="0"/>
        <v>#N/A</v>
      </c>
      <c r="L25" s="294" t="e">
        <f t="shared" si="0"/>
        <v>#N/A</v>
      </c>
      <c r="M25" s="294" t="e">
        <f t="shared" si="0"/>
        <v>#N/A</v>
      </c>
      <c r="N25" s="294" t="e">
        <f t="shared" si="0"/>
        <v>#N/A</v>
      </c>
      <c r="O25" s="294" t="e">
        <f t="shared" si="0"/>
        <v>#N/A</v>
      </c>
      <c r="P25" s="275"/>
      <c r="Q25" s="275"/>
    </row>
    <row r="26" spans="1:21" ht="14.65" customHeight="1" x14ac:dyDescent="0.25">
      <c r="A26" s="521" t="s">
        <v>78</v>
      </c>
      <c r="B26" s="521"/>
      <c r="C26" s="289" t="str">
        <f>'Quantification Tool'!H44</f>
        <v/>
      </c>
      <c r="D26" s="289" t="str">
        <f>'Quantification Tool'!H82</f>
        <v/>
      </c>
      <c r="E26" s="286" t="str">
        <f>'Monitoring Data'!H3</f>
        <v/>
      </c>
      <c r="F26" s="286" t="str">
        <f>'Monitoring Data'!H41</f>
        <v/>
      </c>
      <c r="G26" s="286" t="str">
        <f>'Monitoring Data'!H79</f>
        <v/>
      </c>
      <c r="H26" s="286" t="str">
        <f>'Monitoring Data'!H117</f>
        <v/>
      </c>
      <c r="I26" s="286" t="str">
        <f>'Monitoring Data'!H155</f>
        <v/>
      </c>
      <c r="J26" s="286" t="str">
        <f>'Monitoring Data'!H193</f>
        <v/>
      </c>
      <c r="K26" s="286" t="str">
        <f>'Monitoring Data'!H231</f>
        <v/>
      </c>
      <c r="L26" s="286" t="str">
        <f>'Monitoring Data'!H269</f>
        <v/>
      </c>
      <c r="M26" s="286" t="str">
        <f>'Monitoring Data'!H307</f>
        <v/>
      </c>
      <c r="N26" s="286" t="str">
        <f>'Monitoring Data'!H345</f>
        <v/>
      </c>
      <c r="O26" s="286" t="str">
        <f>'Monitoring Data'!H383</f>
        <v/>
      </c>
      <c r="P26" s="273"/>
      <c r="Q26" s="274"/>
      <c r="R26" s="272"/>
      <c r="S26" s="272"/>
      <c r="T26" s="14"/>
      <c r="U26" s="14"/>
    </row>
    <row r="27" spans="1:21" ht="14.65" customHeight="1" x14ac:dyDescent="0.25">
      <c r="A27" s="522" t="s">
        <v>6</v>
      </c>
      <c r="B27" s="522"/>
      <c r="C27" s="289" t="str">
        <f>'Quantification Tool'!H48</f>
        <v/>
      </c>
      <c r="D27" s="289" t="str">
        <f>'Quantification Tool'!H86</f>
        <v/>
      </c>
      <c r="E27" s="286" t="str">
        <f>'Monitoring Data'!H7</f>
        <v/>
      </c>
      <c r="F27" s="286" t="str">
        <f>'Monitoring Data'!H45</f>
        <v/>
      </c>
      <c r="G27" s="286" t="str">
        <f>'Monitoring Data'!H83</f>
        <v/>
      </c>
      <c r="H27" s="286" t="str">
        <f>'Monitoring Data'!H121</f>
        <v/>
      </c>
      <c r="I27" s="286" t="str">
        <f>'Monitoring Data'!H159</f>
        <v/>
      </c>
      <c r="J27" s="286" t="str">
        <f>'Monitoring Data'!H197</f>
        <v/>
      </c>
      <c r="K27" s="286" t="str">
        <f>'Monitoring Data'!H235</f>
        <v/>
      </c>
      <c r="L27" s="286" t="str">
        <f>'Monitoring Data'!H273</f>
        <v/>
      </c>
      <c r="M27" s="286" t="str">
        <f>'Monitoring Data'!H311</f>
        <v/>
      </c>
      <c r="N27" s="286" t="str">
        <f>'Monitoring Data'!H349</f>
        <v/>
      </c>
      <c r="O27" s="286" t="str">
        <f>'Monitoring Data'!H387</f>
        <v/>
      </c>
      <c r="P27" s="273"/>
      <c r="Q27" s="273"/>
      <c r="R27" s="272"/>
      <c r="S27" s="272"/>
      <c r="T27" s="14"/>
      <c r="U27" s="14"/>
    </row>
    <row r="28" spans="1:21" ht="14.65" customHeight="1" x14ac:dyDescent="0.25">
      <c r="A28" s="502" t="s">
        <v>30</v>
      </c>
      <c r="B28" s="502"/>
      <c r="C28" s="289" t="str">
        <f>'Quantification Tool'!H50</f>
        <v/>
      </c>
      <c r="D28" s="289" t="str">
        <f>'Quantification Tool'!H88</f>
        <v/>
      </c>
      <c r="E28" s="286" t="str">
        <f>'Monitoring Data'!H9</f>
        <v/>
      </c>
      <c r="F28" s="286" t="str">
        <f>'Monitoring Data'!H47</f>
        <v/>
      </c>
      <c r="G28" s="286" t="str">
        <f>'Monitoring Data'!H85</f>
        <v/>
      </c>
      <c r="H28" s="286" t="str">
        <f>'Monitoring Data'!H123</f>
        <v/>
      </c>
      <c r="I28" s="286" t="str">
        <f>'Monitoring Data'!H161</f>
        <v/>
      </c>
      <c r="J28" s="286" t="str">
        <f>'Monitoring Data'!H199</f>
        <v/>
      </c>
      <c r="K28" s="286" t="str">
        <f>'Monitoring Data'!H237</f>
        <v/>
      </c>
      <c r="L28" s="286" t="str">
        <f>'Monitoring Data'!H275</f>
        <v/>
      </c>
      <c r="M28" s="286" t="str">
        <f>'Monitoring Data'!H313</f>
        <v/>
      </c>
      <c r="N28" s="286" t="str">
        <f>'Monitoring Data'!H351</f>
        <v/>
      </c>
      <c r="O28" s="286" t="str">
        <f>'Monitoring Data'!H389</f>
        <v/>
      </c>
      <c r="P28" s="273"/>
      <c r="Q28" s="274"/>
      <c r="R28" s="272"/>
      <c r="S28" s="272"/>
      <c r="T28" s="14"/>
      <c r="U28" s="14"/>
    </row>
    <row r="29" spans="1:21" ht="18.75" x14ac:dyDescent="0.25">
      <c r="A29" s="569" t="s">
        <v>68</v>
      </c>
      <c r="B29" s="569"/>
      <c r="C29" s="289" t="str">
        <f>'Quantification Tool'!H69</f>
        <v/>
      </c>
      <c r="D29" s="289" t="str">
        <f>'Quantification Tool'!H107</f>
        <v/>
      </c>
      <c r="E29" s="286" t="str">
        <f>'Monitoring Data'!H28</f>
        <v/>
      </c>
      <c r="F29" s="286" t="str">
        <f>'Monitoring Data'!H66</f>
        <v/>
      </c>
      <c r="G29" s="286" t="str">
        <f>'Monitoring Data'!H104</f>
        <v/>
      </c>
      <c r="H29" s="286" t="str">
        <f>'Monitoring Data'!H142</f>
        <v/>
      </c>
      <c r="I29" s="286" t="str">
        <f>'Monitoring Data'!H180</f>
        <v/>
      </c>
      <c r="J29" s="286" t="str">
        <f>'Monitoring Data'!H218</f>
        <v/>
      </c>
      <c r="K29" s="286" t="str">
        <f>'Monitoring Data'!H256</f>
        <v/>
      </c>
      <c r="L29" s="286" t="str">
        <f>'Monitoring Data'!H294</f>
        <v/>
      </c>
      <c r="M29" s="286" t="str">
        <f>'Monitoring Data'!H332</f>
        <v/>
      </c>
      <c r="N29" s="286" t="str">
        <f>'Monitoring Data'!H370</f>
        <v/>
      </c>
      <c r="O29" s="286" t="str">
        <f>'Monitoring Data'!H408</f>
        <v/>
      </c>
      <c r="P29" s="273"/>
      <c r="Q29" s="274"/>
      <c r="R29" s="272"/>
      <c r="S29" s="272"/>
      <c r="T29" s="14"/>
      <c r="U29" s="14"/>
    </row>
    <row r="30" spans="1:21" ht="18.75" x14ac:dyDescent="0.25">
      <c r="A30" s="568" t="s">
        <v>70</v>
      </c>
      <c r="B30" s="568"/>
      <c r="C30" s="289" t="str">
        <f>'Quantification Tool'!H75</f>
        <v/>
      </c>
      <c r="D30" s="289" t="str">
        <f>'Quantification Tool'!H113</f>
        <v/>
      </c>
      <c r="E30" s="286" t="str">
        <f>'Monitoring Data'!H34</f>
        <v/>
      </c>
      <c r="F30" s="286" t="str">
        <f>'Monitoring Data'!H72</f>
        <v/>
      </c>
      <c r="G30" s="286" t="str">
        <f>'Monitoring Data'!H110</f>
        <v/>
      </c>
      <c r="H30" s="286" t="str">
        <f>'Monitoring Data'!H148</f>
        <v/>
      </c>
      <c r="I30" s="286" t="str">
        <f>'Monitoring Data'!H186</f>
        <v/>
      </c>
      <c r="J30" s="286" t="str">
        <f>'Monitoring Data'!H224</f>
        <v/>
      </c>
      <c r="K30" s="286" t="str">
        <f>'Monitoring Data'!H262</f>
        <v/>
      </c>
      <c r="L30" s="286" t="str">
        <f>'Monitoring Data'!H300</f>
        <v/>
      </c>
      <c r="M30" s="286" t="str">
        <f>'Monitoring Data'!H338</f>
        <v/>
      </c>
      <c r="N30" s="286" t="str">
        <f>'Monitoring Data'!H376</f>
        <v/>
      </c>
      <c r="O30" s="286" t="str">
        <f>'Monitoring Data'!H414</f>
        <v/>
      </c>
      <c r="P30" s="273"/>
      <c r="Q30" s="273"/>
      <c r="R30" s="272"/>
      <c r="S30" s="272"/>
      <c r="T30" s="14"/>
      <c r="U30" s="14"/>
    </row>
    <row r="31" spans="1:21" ht="18.75" x14ac:dyDescent="0.3">
      <c r="A31" s="567" t="s">
        <v>347</v>
      </c>
      <c r="B31" s="567"/>
      <c r="C31" s="290">
        <f>ROUND(0.2*SUM(C26:C30),2)</f>
        <v>0</v>
      </c>
      <c r="D31" s="290">
        <f>ROUND(0.2*SUM(D26:D30),2)</f>
        <v>0</v>
      </c>
      <c r="E31" s="287">
        <f t="shared" ref="E31" si="1">ROUND(0.2*SUM(E26:E30),2)</f>
        <v>0</v>
      </c>
      <c r="F31" s="281" t="e">
        <f t="shared" ref="F31:J31" si="2">IF(F25="","",ROUND(0.2*SUM(F26:F30),2))</f>
        <v>#N/A</v>
      </c>
      <c r="G31" s="281" t="e">
        <f t="shared" si="2"/>
        <v>#N/A</v>
      </c>
      <c r="H31" s="281" t="e">
        <f t="shared" si="2"/>
        <v>#N/A</v>
      </c>
      <c r="I31" s="281" t="e">
        <f t="shared" si="2"/>
        <v>#N/A</v>
      </c>
      <c r="J31" s="281" t="e">
        <f t="shared" si="2"/>
        <v>#N/A</v>
      </c>
      <c r="K31" s="281" t="e">
        <f t="shared" ref="K31:O31" si="3">IF(K25="","",ROUND(0.2*SUM(K26:K30),2))</f>
        <v>#N/A</v>
      </c>
      <c r="L31" s="281" t="e">
        <f t="shared" si="3"/>
        <v>#N/A</v>
      </c>
      <c r="M31" s="281" t="e">
        <f t="shared" si="3"/>
        <v>#N/A</v>
      </c>
      <c r="N31" s="281" t="e">
        <f t="shared" si="3"/>
        <v>#N/A</v>
      </c>
      <c r="O31" s="281" t="e">
        <f t="shared" si="3"/>
        <v>#N/A</v>
      </c>
    </row>
    <row r="32" spans="1:21" ht="18.75" x14ac:dyDescent="0.3">
      <c r="A32" s="567" t="s">
        <v>348</v>
      </c>
      <c r="B32" s="567"/>
      <c r="C32" s="290">
        <f>ROUND(C31*'Quantification Tool'!B11,0)</f>
        <v>0</v>
      </c>
      <c r="D32" s="291">
        <f>ROUND(D31*'Quantification Tool'!$B$12,0)</f>
        <v>0</v>
      </c>
      <c r="E32" s="285">
        <f>ROUND(E31*'Quantification Tool'!$B$12,0)</f>
        <v>0</v>
      </c>
      <c r="F32" s="292" t="str">
        <f>IFERROR(ROUND(F31*'Quantification Tool'!$B$12,0),"")</f>
        <v/>
      </c>
      <c r="G32" s="292" t="str">
        <f>IFERROR(ROUND(G31*'Quantification Tool'!$B$12,0),"")</f>
        <v/>
      </c>
      <c r="H32" s="292" t="str">
        <f>IFERROR(ROUND(H31*'Quantification Tool'!$B$12,0),"")</f>
        <v/>
      </c>
      <c r="I32" s="292" t="str">
        <f>IFERROR(ROUND(I31*'Quantification Tool'!$B$12,0),"")</f>
        <v/>
      </c>
      <c r="J32" s="292" t="str">
        <f>IFERROR(ROUND(J31*'Quantification Tool'!$B$12,0),"")</f>
        <v/>
      </c>
      <c r="K32" s="285" t="str">
        <f>IFERROR(ROUND(K31*'Quantification Tool'!$B$12,0),"")</f>
        <v/>
      </c>
      <c r="L32" s="292" t="str">
        <f>IFERROR(ROUND(L31*'Quantification Tool'!$B$12,0),"")</f>
        <v/>
      </c>
      <c r="M32" s="292" t="str">
        <f>IFERROR(ROUND(M31*'Quantification Tool'!$B$12,0),"")</f>
        <v/>
      </c>
      <c r="N32" s="292" t="str">
        <f>IFERROR(ROUND(N31*'Quantification Tool'!$B$12,0),"")</f>
        <v/>
      </c>
      <c r="O32" s="292" t="str">
        <f>IFERROR(ROUND(O31*'Quantification Tool'!$B$12,0),"")</f>
        <v/>
      </c>
    </row>
    <row r="33" spans="1:3" ht="18.75" x14ac:dyDescent="0.3">
      <c r="C33" s="282"/>
    </row>
    <row r="35" spans="1:3" x14ac:dyDescent="0.25">
      <c r="A35" s="293" t="s">
        <v>350</v>
      </c>
    </row>
    <row r="36" spans="1:3" x14ac:dyDescent="0.25">
      <c r="A36" s="293" t="e">
        <f>IFERROR(O25,IFERROR(N25,IFERROR(M25,IFERROR(L25,IFERROR(K25,IFERROR(J25,IFERROR(I25,IFERROR(H25,IFERROR(G25,F25)))))))))</f>
        <v>#N/A</v>
      </c>
    </row>
  </sheetData>
  <sheetProtection algorithmName="SHA-512" hashValue="ZbSZXhjHSJTdrKpwAjlgY+0rtIzsmhiEeEOxSYdJojS2CzKIlGzaPsSNr9URFINLdcEBx1t2LGWQayOCfXIB7Q==" saltValue="1OEcwqflFOLN0F5ha1xtTA==" spinCount="100000" sheet="1" objects="1" scenarios="1"/>
  <mergeCells count="24">
    <mergeCell ref="C24:C25"/>
    <mergeCell ref="D24:D25"/>
    <mergeCell ref="E24:E25"/>
    <mergeCell ref="F24:O24"/>
    <mergeCell ref="A2:O2"/>
    <mergeCell ref="A23:O23"/>
    <mergeCell ref="A3:A4"/>
    <mergeCell ref="B3:B4"/>
    <mergeCell ref="C3:C4"/>
    <mergeCell ref="D3:D4"/>
    <mergeCell ref="E3:E4"/>
    <mergeCell ref="F3:O3"/>
    <mergeCell ref="A24:B25"/>
    <mergeCell ref="A5:A6"/>
    <mergeCell ref="A8:A13"/>
    <mergeCell ref="A14:A18"/>
    <mergeCell ref="A19:A20"/>
    <mergeCell ref="A32:B32"/>
    <mergeCell ref="A30:B30"/>
    <mergeCell ref="A31:B31"/>
    <mergeCell ref="A26:B26"/>
    <mergeCell ref="A27:B27"/>
    <mergeCell ref="A28:B28"/>
    <mergeCell ref="A29:B29"/>
  </mergeCells>
  <conditionalFormatting sqref="A19 B15:B16">
    <cfRule type="beginsWith" dxfId="65" priority="97" stopIfTrue="1" operator="beginsWith" text="Functioning At Risk">
      <formula>LEFT(A15,LEN("Functioning At Risk"))="Functioning At Risk"</formula>
    </cfRule>
    <cfRule type="beginsWith" dxfId="64" priority="98" stopIfTrue="1" operator="beginsWith" text="Not Functioning">
      <formula>LEFT(A15,LEN("Not Functioning"))="Not Functioning"</formula>
    </cfRule>
    <cfRule type="containsText" dxfId="63" priority="99" operator="containsText" text="Functioning">
      <formula>NOT(ISERROR(SEARCH("Functioning",A15)))</formula>
    </cfRule>
  </conditionalFormatting>
  <conditionalFormatting sqref="B19">
    <cfRule type="beginsWith" dxfId="62" priority="91" stopIfTrue="1" operator="beginsWith" text="Functioning At Risk">
      <formula>LEFT(B19,LEN("Functioning At Risk"))="Functioning At Risk"</formula>
    </cfRule>
    <cfRule type="beginsWith" dxfId="61" priority="92" stopIfTrue="1" operator="beginsWith" text="Not Functioning">
      <formula>LEFT(B19,LEN("Not Functioning"))="Not Functioning"</formula>
    </cfRule>
    <cfRule type="containsText" dxfId="60" priority="93" operator="containsText" text="Functioning">
      <formula>NOT(ISERROR(SEARCH("Functioning",B19)))</formula>
    </cfRule>
  </conditionalFormatting>
  <conditionalFormatting sqref="B20">
    <cfRule type="beginsWith" dxfId="59" priority="88" stopIfTrue="1" operator="beginsWith" text="Functioning At Risk">
      <formula>LEFT(B20,LEN("Functioning At Risk"))="Functioning At Risk"</formula>
    </cfRule>
    <cfRule type="beginsWith" dxfId="58" priority="89" stopIfTrue="1" operator="beginsWith" text="Not Functioning">
      <formula>LEFT(B20,LEN("Not Functioning"))="Not Functioning"</formula>
    </cfRule>
    <cfRule type="containsText" dxfId="57" priority="90" operator="containsText" text="Functioning">
      <formula>NOT(ISERROR(SEARCH("Functioning",B20)))</formula>
    </cfRule>
  </conditionalFormatting>
  <conditionalFormatting sqref="B18">
    <cfRule type="beginsWith" dxfId="56" priority="85" stopIfTrue="1" operator="beginsWith" text="Functioning At Risk">
      <formula>LEFT(B18,LEN("Functioning At Risk"))="Functioning At Risk"</formula>
    </cfRule>
    <cfRule type="beginsWith" dxfId="55" priority="86" stopIfTrue="1" operator="beginsWith" text="Not Functioning">
      <formula>LEFT(B18,LEN("Not Functioning"))="Not Functioning"</formula>
    </cfRule>
    <cfRule type="containsText" dxfId="54" priority="87" operator="containsText" text="Functioning">
      <formula>NOT(ISERROR(SEARCH("Functioning",B18)))</formula>
    </cfRule>
  </conditionalFormatting>
  <conditionalFormatting sqref="B17">
    <cfRule type="beginsWith" dxfId="53" priority="82" stopIfTrue="1" operator="beginsWith" text="Functioning At Risk">
      <formula>LEFT(B17,LEN("Functioning At Risk"))="Functioning At Risk"</formula>
    </cfRule>
    <cfRule type="beginsWith" dxfId="52" priority="83" stopIfTrue="1" operator="beginsWith" text="Not Functioning">
      <formula>LEFT(B17,LEN("Not Functioning"))="Not Functioning"</formula>
    </cfRule>
    <cfRule type="containsText" dxfId="51" priority="84" operator="containsText" text="Functioning">
      <formula>NOT(ISERROR(SEARCH("Functioning",B17)))</formula>
    </cfRule>
  </conditionalFormatting>
  <conditionalFormatting sqref="A14">
    <cfRule type="beginsWith" dxfId="50" priority="79" stopIfTrue="1" operator="beginsWith" text="Functioning At Risk">
      <formula>LEFT(A14,LEN("Functioning At Risk"))="Functioning At Risk"</formula>
    </cfRule>
    <cfRule type="beginsWith" dxfId="49" priority="80" stopIfTrue="1" operator="beginsWith" text="Not Functioning">
      <formula>LEFT(A14,LEN("Not Functioning"))="Not Functioning"</formula>
    </cfRule>
    <cfRule type="containsText" dxfId="48" priority="81" operator="containsText" text="Functioning">
      <formula>NOT(ISERROR(SEARCH("Functioning",A14)))</formula>
    </cfRule>
  </conditionalFormatting>
  <conditionalFormatting sqref="C26:O30 C5:O20">
    <cfRule type="cellIs" dxfId="47" priority="94" operator="between">
      <formula>0</formula>
      <formula>0.299999</formula>
    </cfRule>
    <cfRule type="cellIs" dxfId="46" priority="95" operator="between">
      <formula>0.6999999</formula>
      <formula>0.3</formula>
    </cfRule>
    <cfRule type="cellIs" dxfId="45" priority="96" operator="between">
      <formula>0.7</formula>
      <formula>1</formula>
    </cfRule>
  </conditionalFormatting>
  <conditionalFormatting sqref="Q29:S29">
    <cfRule type="beginsWith" dxfId="44" priority="19" stopIfTrue="1" operator="beginsWith" text="Functioning At Risk">
      <formula>LEFT(Q29,LEN("Functioning At Risk"))="Functioning At Risk"</formula>
    </cfRule>
    <cfRule type="beginsWith" dxfId="43" priority="20" stopIfTrue="1" operator="beginsWith" text="Not Functioning">
      <formula>LEFT(Q29,LEN("Not Functioning"))="Not Functioning"</formula>
    </cfRule>
    <cfRule type="containsText" dxfId="42" priority="21" operator="containsText" text="Functioning">
      <formula>NOT(ISERROR(SEARCH("Functioning",Q29)))</formula>
    </cfRule>
  </conditionalFormatting>
  <conditionalFormatting sqref="P29">
    <cfRule type="beginsWith" dxfId="41" priority="16" stopIfTrue="1" operator="beginsWith" text="Functioning At Risk">
      <formula>LEFT(P29,LEN("Functioning At Risk"))="Functioning At Risk"</formula>
    </cfRule>
    <cfRule type="beginsWith" dxfId="40" priority="17" stopIfTrue="1" operator="beginsWith" text="Not Functioning">
      <formula>LEFT(P29,LEN("Not Functioning"))="Not Functioning"</formula>
    </cfRule>
    <cfRule type="containsText" dxfId="39" priority="18" operator="containsText" text="Functioning">
      <formula>NOT(ISERROR(SEARCH("Functioning",P29)))</formula>
    </cfRule>
  </conditionalFormatting>
  <conditionalFormatting sqref="P24:P25">
    <cfRule type="beginsWith" dxfId="38" priority="52" stopIfTrue="1" operator="beginsWith" text="Functioning At Risk">
      <formula>LEFT(P24,LEN("Functioning At Risk"))="Functioning At Risk"</formula>
    </cfRule>
    <cfRule type="beginsWith" dxfId="37" priority="53" stopIfTrue="1" operator="beginsWith" text="Not Functioning">
      <formula>LEFT(P24,LEN("Not Functioning"))="Not Functioning"</formula>
    </cfRule>
    <cfRule type="containsText" dxfId="36" priority="54" operator="containsText" text="Functioning">
      <formula>NOT(ISERROR(SEARCH("Functioning",P24)))</formula>
    </cfRule>
  </conditionalFormatting>
  <conditionalFormatting sqref="A23">
    <cfRule type="beginsWith" dxfId="35" priority="46" stopIfTrue="1" operator="beginsWith" text="Functioning At Risk">
      <formula>LEFT(A23,LEN("Functioning At Risk"))="Functioning At Risk"</formula>
    </cfRule>
    <cfRule type="beginsWith" dxfId="34" priority="47" stopIfTrue="1" operator="beginsWith" text="Not Functioning">
      <formula>LEFT(A23,LEN("Not Functioning"))="Not Functioning"</formula>
    </cfRule>
    <cfRule type="containsText" dxfId="33" priority="48" operator="containsText" text="Functioning">
      <formula>NOT(ISERROR(SEARCH("Functioning",A23)))</formula>
    </cfRule>
  </conditionalFormatting>
  <conditionalFormatting sqref="A29">
    <cfRule type="beginsWith" dxfId="32" priority="43" stopIfTrue="1" operator="beginsWith" text="Functioning At Risk">
      <formula>LEFT(A29,LEN("Functioning At Risk"))="Functioning At Risk"</formula>
    </cfRule>
    <cfRule type="beginsWith" dxfId="31" priority="44" stopIfTrue="1" operator="beginsWith" text="Not Functioning">
      <formula>LEFT(A29,LEN("Not Functioning"))="Not Functioning"</formula>
    </cfRule>
    <cfRule type="containsText" dxfId="30" priority="45" operator="containsText" text="Functioning">
      <formula>NOT(ISERROR(SEARCH("Functioning",A29)))</formula>
    </cfRule>
  </conditionalFormatting>
  <conditionalFormatting sqref="A28">
    <cfRule type="beginsWith" dxfId="29" priority="40" stopIfTrue="1" operator="beginsWith" text="Functioning At Risk">
      <formula>LEFT(A28,LEN("Functioning At Risk"))="Functioning At Risk"</formula>
    </cfRule>
    <cfRule type="beginsWith" dxfId="28" priority="41" stopIfTrue="1" operator="beginsWith" text="Not Functioning">
      <formula>LEFT(A28,LEN("Not Functioning"))="Not Functioning"</formula>
    </cfRule>
    <cfRule type="containsText" dxfId="27" priority="42" operator="containsText" text="Functioning">
      <formula>NOT(ISERROR(SEARCH("Functioning",A28)))</formula>
    </cfRule>
  </conditionalFormatting>
  <conditionalFormatting sqref="A27">
    <cfRule type="beginsWith" dxfId="26" priority="37" stopIfTrue="1" operator="beginsWith" text="Functioning At Risk">
      <formula>LEFT(A27,LEN("Functioning At Risk"))="Functioning At Risk"</formula>
    </cfRule>
    <cfRule type="beginsWith" dxfId="25" priority="38" stopIfTrue="1" operator="beginsWith" text="Not Functioning">
      <formula>LEFT(A27,LEN("Not Functioning"))="Not Functioning"</formula>
    </cfRule>
    <cfRule type="containsText" dxfId="24" priority="39" operator="containsText" text="Functioning">
      <formula>NOT(ISERROR(SEARCH("Functioning",A27)))</formula>
    </cfRule>
  </conditionalFormatting>
  <conditionalFormatting sqref="A30">
    <cfRule type="beginsWith" dxfId="23" priority="28" stopIfTrue="1" operator="beginsWith" text="Functioning At Risk">
      <formula>LEFT(A30,LEN("Functioning At Risk"))="Functioning At Risk"</formula>
    </cfRule>
    <cfRule type="beginsWith" dxfId="22" priority="29" stopIfTrue="1" operator="beginsWith" text="Not Functioning">
      <formula>LEFT(A30,LEN("Not Functioning"))="Not Functioning"</formula>
    </cfRule>
    <cfRule type="containsText" dxfId="21" priority="30" operator="containsText" text="Functioning">
      <formula>NOT(ISERROR(SEARCH("Functioning",A30)))</formula>
    </cfRule>
  </conditionalFormatting>
  <conditionalFormatting sqref="P30:S30 P27:S28">
    <cfRule type="beginsWith" dxfId="20" priority="25" stopIfTrue="1" operator="beginsWith" text="Functioning At Risk">
      <formula>LEFT(P27,LEN("Functioning At Risk"))="Functioning At Risk"</formula>
    </cfRule>
    <cfRule type="beginsWith" dxfId="19" priority="26" stopIfTrue="1" operator="beginsWith" text="Not Functioning">
      <formula>LEFT(P27,LEN("Not Functioning"))="Not Functioning"</formula>
    </cfRule>
    <cfRule type="containsText" dxfId="18" priority="27" operator="containsText" text="Functioning">
      <formula>NOT(ISERROR(SEARCH("Functioning",P27)))</formula>
    </cfRule>
  </conditionalFormatting>
  <conditionalFormatting sqref="F4:O4">
    <cfRule type="containsErrors" dxfId="17" priority="3">
      <formula>ISERROR(F4)</formula>
    </cfRule>
  </conditionalFormatting>
  <conditionalFormatting sqref="F25:O25">
    <cfRule type="containsErrors" dxfId="16" priority="2">
      <formula>ISERROR(F25)</formula>
    </cfRule>
  </conditionalFormatting>
  <conditionalFormatting sqref="E31:O31">
    <cfRule type="containsErrors" dxfId="15" priority="1">
      <formula>ISERROR(E31)</formula>
    </cfRule>
  </conditionalFormatting>
  <pageMargins left="0.7" right="0.7" top="0.75" bottom="0.75" header="0.3" footer="0.3"/>
  <pageSetup paperSize="3" orientation="landscape" r:id="rId1"/>
  <rowBreaks count="1" manualBreakCount="1">
    <brk id="3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23"/>
  <sheetViews>
    <sheetView workbookViewId="0"/>
  </sheetViews>
  <sheetFormatPr defaultRowHeight="15" x14ac:dyDescent="0.25"/>
  <cols>
    <col min="1" max="1" width="8.85546875" style="328"/>
    <col min="2" max="2" width="15.5703125" customWidth="1"/>
  </cols>
  <sheetData>
    <row r="1" spans="1:2" s="14" customFormat="1" x14ac:dyDescent="0.25">
      <c r="A1" s="328" t="s">
        <v>375</v>
      </c>
    </row>
    <row r="2" spans="1:2" x14ac:dyDescent="0.25">
      <c r="B2" s="14" t="s">
        <v>22</v>
      </c>
    </row>
    <row r="3" spans="1:2" x14ac:dyDescent="0.25">
      <c r="B3" t="s">
        <v>12</v>
      </c>
    </row>
    <row r="4" spans="1:2" x14ac:dyDescent="0.25">
      <c r="B4" t="s">
        <v>13</v>
      </c>
    </row>
    <row r="5" spans="1:2" x14ac:dyDescent="0.25">
      <c r="B5" t="s">
        <v>10</v>
      </c>
    </row>
    <row r="6" spans="1:2" x14ac:dyDescent="0.25">
      <c r="B6" t="s">
        <v>11</v>
      </c>
    </row>
    <row r="7" spans="1:2" s="14" customFormat="1" x14ac:dyDescent="0.25">
      <c r="A7" s="328"/>
      <c r="B7" s="14" t="s">
        <v>166</v>
      </c>
    </row>
    <row r="8" spans="1:2" s="14" customFormat="1" x14ac:dyDescent="0.25">
      <c r="A8" s="328"/>
      <c r="B8" s="14" t="s">
        <v>167</v>
      </c>
    </row>
    <row r="9" spans="1:2" s="14" customFormat="1" x14ac:dyDescent="0.25">
      <c r="A9" s="328"/>
      <c r="B9" s="14" t="s">
        <v>198</v>
      </c>
    </row>
    <row r="11" spans="1:2" s="14" customFormat="1" x14ac:dyDescent="0.25">
      <c r="A11" s="328" t="s">
        <v>17</v>
      </c>
    </row>
    <row r="12" spans="1:2" x14ac:dyDescent="0.25">
      <c r="B12" t="s">
        <v>26</v>
      </c>
    </row>
    <row r="13" spans="1:2" x14ac:dyDescent="0.25">
      <c r="B13" s="14" t="s">
        <v>25</v>
      </c>
    </row>
    <row r="14" spans="1:2" s="14" customFormat="1" x14ac:dyDescent="0.25">
      <c r="A14" s="328"/>
    </row>
    <row r="15" spans="1:2" x14ac:dyDescent="0.25">
      <c r="A15" s="328" t="s">
        <v>169</v>
      </c>
    </row>
    <row r="16" spans="1:2" x14ac:dyDescent="0.25">
      <c r="B16" t="s">
        <v>23</v>
      </c>
    </row>
    <row r="17" spans="1:2" x14ac:dyDescent="0.25">
      <c r="B17" t="s">
        <v>24</v>
      </c>
    </row>
    <row r="18" spans="1:2" s="14" customFormat="1" x14ac:dyDescent="0.25">
      <c r="A18" s="328"/>
    </row>
    <row r="19" spans="1:2" x14ac:dyDescent="0.25">
      <c r="A19" s="328" t="s">
        <v>29</v>
      </c>
    </row>
    <row r="20" spans="1:2" x14ac:dyDescent="0.25">
      <c r="B20" t="s">
        <v>28</v>
      </c>
    </row>
    <row r="21" spans="1:2" x14ac:dyDescent="0.25">
      <c r="B21" t="s">
        <v>32</v>
      </c>
    </row>
    <row r="22" spans="1:2" s="14" customFormat="1" x14ac:dyDescent="0.25">
      <c r="A22" s="328"/>
      <c r="B22" s="14" t="s">
        <v>77</v>
      </c>
    </row>
    <row r="24" spans="1:2" s="14" customFormat="1" x14ac:dyDescent="0.25">
      <c r="A24" s="328" t="s">
        <v>376</v>
      </c>
    </row>
    <row r="25" spans="1:2" x14ac:dyDescent="0.25">
      <c r="B25" t="s">
        <v>33</v>
      </c>
    </row>
    <row r="26" spans="1:2" x14ac:dyDescent="0.25">
      <c r="B26" t="s">
        <v>34</v>
      </c>
    </row>
    <row r="27" spans="1:2" x14ac:dyDescent="0.25">
      <c r="B27" t="s">
        <v>35</v>
      </c>
    </row>
    <row r="28" spans="1:2" x14ac:dyDescent="0.25">
      <c r="B28" t="s">
        <v>36</v>
      </c>
    </row>
    <row r="29" spans="1:2" x14ac:dyDescent="0.25">
      <c r="B29" t="s">
        <v>37</v>
      </c>
    </row>
    <row r="30" spans="1:2" x14ac:dyDescent="0.25">
      <c r="B30" t="s">
        <v>42</v>
      </c>
    </row>
    <row r="31" spans="1:2" x14ac:dyDescent="0.25">
      <c r="B31" t="s">
        <v>38</v>
      </c>
    </row>
    <row r="32" spans="1:2" x14ac:dyDescent="0.25">
      <c r="B32" t="s">
        <v>39</v>
      </c>
    </row>
    <row r="33" spans="1:2" x14ac:dyDescent="0.25">
      <c r="B33" t="s">
        <v>40</v>
      </c>
    </row>
    <row r="34" spans="1:2" x14ac:dyDescent="0.25">
      <c r="B34" t="s">
        <v>41</v>
      </c>
    </row>
    <row r="35" spans="1:2" s="14" customFormat="1" x14ac:dyDescent="0.25">
      <c r="A35" s="328"/>
      <c r="B35" s="14" t="s">
        <v>204</v>
      </c>
    </row>
    <row r="36" spans="1:2" s="14" customFormat="1" x14ac:dyDescent="0.25">
      <c r="A36" s="328"/>
      <c r="B36" s="14" t="s">
        <v>203</v>
      </c>
    </row>
    <row r="37" spans="1:2" s="14" customFormat="1" x14ac:dyDescent="0.25">
      <c r="A37" s="328"/>
      <c r="B37" s="14" t="s">
        <v>205</v>
      </c>
    </row>
    <row r="38" spans="1:2" x14ac:dyDescent="0.25">
      <c r="B38" t="s">
        <v>43</v>
      </c>
    </row>
    <row r="39" spans="1:2" x14ac:dyDescent="0.25">
      <c r="B39" t="s">
        <v>44</v>
      </c>
    </row>
    <row r="40" spans="1:2" x14ac:dyDescent="0.25">
      <c r="B40" t="s">
        <v>45</v>
      </c>
    </row>
    <row r="41" spans="1:2" s="14" customFormat="1" x14ac:dyDescent="0.25">
      <c r="A41" s="328"/>
      <c r="B41" s="14" t="s">
        <v>206</v>
      </c>
    </row>
    <row r="42" spans="1:2" x14ac:dyDescent="0.25">
      <c r="B42" t="s">
        <v>48</v>
      </c>
    </row>
    <row r="43" spans="1:2" x14ac:dyDescent="0.25">
      <c r="B43" t="s">
        <v>46</v>
      </c>
    </row>
    <row r="44" spans="1:2" s="14" customFormat="1" x14ac:dyDescent="0.25">
      <c r="A44" s="328"/>
      <c r="B44" s="14" t="s">
        <v>207</v>
      </c>
    </row>
    <row r="45" spans="1:2" s="14" customFormat="1" x14ac:dyDescent="0.25">
      <c r="A45" s="328"/>
      <c r="B45" s="14" t="s">
        <v>208</v>
      </c>
    </row>
    <row r="46" spans="1:2" s="14" customFormat="1" x14ac:dyDescent="0.25">
      <c r="A46" s="328"/>
      <c r="B46" s="14" t="s">
        <v>209</v>
      </c>
    </row>
    <row r="47" spans="1:2" s="14" customFormat="1" x14ac:dyDescent="0.25">
      <c r="A47" s="328"/>
      <c r="B47" s="14" t="s">
        <v>52</v>
      </c>
    </row>
    <row r="48" spans="1:2" x14ac:dyDescent="0.25">
      <c r="B48" t="s">
        <v>210</v>
      </c>
    </row>
    <row r="49" spans="1:2" x14ac:dyDescent="0.25">
      <c r="B49" t="s">
        <v>47</v>
      </c>
    </row>
    <row r="50" spans="1:2" s="14" customFormat="1" x14ac:dyDescent="0.25">
      <c r="A50" s="328"/>
      <c r="B50" s="14" t="s">
        <v>211</v>
      </c>
    </row>
    <row r="51" spans="1:2" x14ac:dyDescent="0.25">
      <c r="B51" t="s">
        <v>49</v>
      </c>
    </row>
    <row r="52" spans="1:2" x14ac:dyDescent="0.25">
      <c r="B52" t="s">
        <v>50</v>
      </c>
    </row>
    <row r="53" spans="1:2" x14ac:dyDescent="0.25">
      <c r="B53" t="s">
        <v>51</v>
      </c>
    </row>
    <row r="54" spans="1:2" x14ac:dyDescent="0.25">
      <c r="B54" t="s">
        <v>53</v>
      </c>
    </row>
    <row r="55" spans="1:2" s="14" customFormat="1" x14ac:dyDescent="0.25">
      <c r="A55" s="328"/>
    </row>
    <row r="56" spans="1:2" x14ac:dyDescent="0.25">
      <c r="A56" s="328" t="s">
        <v>67</v>
      </c>
    </row>
    <row r="57" spans="1:2" x14ac:dyDescent="0.25">
      <c r="B57" t="s">
        <v>71</v>
      </c>
    </row>
    <row r="58" spans="1:2" x14ac:dyDescent="0.25">
      <c r="B58" t="s">
        <v>72</v>
      </c>
    </row>
    <row r="59" spans="1:2" x14ac:dyDescent="0.25">
      <c r="B59" t="s">
        <v>73</v>
      </c>
    </row>
    <row r="60" spans="1:2" s="14" customFormat="1" x14ac:dyDescent="0.25">
      <c r="A60" s="328"/>
    </row>
    <row r="61" spans="1:2" x14ac:dyDescent="0.25">
      <c r="A61" s="328" t="s">
        <v>69</v>
      </c>
    </row>
    <row r="62" spans="1:2" x14ac:dyDescent="0.25">
      <c r="B62" t="s">
        <v>74</v>
      </c>
    </row>
    <row r="63" spans="1:2" x14ac:dyDescent="0.25">
      <c r="B63" t="s">
        <v>75</v>
      </c>
    </row>
    <row r="64" spans="1:2" x14ac:dyDescent="0.25">
      <c r="B64" t="s">
        <v>76</v>
      </c>
    </row>
    <row r="66" spans="1:2" x14ac:dyDescent="0.25">
      <c r="A66" s="328" t="s">
        <v>377</v>
      </c>
    </row>
    <row r="67" spans="1:2" x14ac:dyDescent="0.25">
      <c r="B67" t="s">
        <v>80</v>
      </c>
    </row>
    <row r="68" spans="1:2" x14ac:dyDescent="0.25">
      <c r="B68" t="s">
        <v>81</v>
      </c>
    </row>
    <row r="70" spans="1:2" x14ac:dyDescent="0.25">
      <c r="A70" s="328" t="s">
        <v>378</v>
      </c>
    </row>
    <row r="71" spans="1:2" x14ac:dyDescent="0.25">
      <c r="B71" t="s">
        <v>421</v>
      </c>
    </row>
    <row r="72" spans="1:2" s="14" customFormat="1" x14ac:dyDescent="0.25">
      <c r="A72" s="328"/>
      <c r="B72" s="14" t="s">
        <v>422</v>
      </c>
    </row>
    <row r="73" spans="1:2" x14ac:dyDescent="0.25">
      <c r="B73" t="s">
        <v>121</v>
      </c>
    </row>
    <row r="74" spans="1:2" x14ac:dyDescent="0.25">
      <c r="B74" t="s">
        <v>122</v>
      </c>
    </row>
    <row r="75" spans="1:2" x14ac:dyDescent="0.25">
      <c r="B75" t="s">
        <v>123</v>
      </c>
    </row>
    <row r="77" spans="1:2" x14ac:dyDescent="0.25">
      <c r="A77" s="329" t="s">
        <v>128</v>
      </c>
    </row>
    <row r="78" spans="1:2" x14ac:dyDescent="0.25">
      <c r="B78" t="s">
        <v>134</v>
      </c>
    </row>
    <row r="79" spans="1:2" x14ac:dyDescent="0.25">
      <c r="B79" t="s">
        <v>137</v>
      </c>
    </row>
    <row r="80" spans="1:2" x14ac:dyDescent="0.25">
      <c r="B80" t="s">
        <v>135</v>
      </c>
    </row>
    <row r="81" spans="1:10" x14ac:dyDescent="0.25">
      <c r="B81" t="s">
        <v>144</v>
      </c>
    </row>
    <row r="82" spans="1:10" x14ac:dyDescent="0.25">
      <c r="B82" t="s">
        <v>129</v>
      </c>
    </row>
    <row r="83" spans="1:10" x14ac:dyDescent="0.25">
      <c r="B83" t="s">
        <v>130</v>
      </c>
    </row>
    <row r="84" spans="1:10" x14ac:dyDescent="0.25">
      <c r="B84" t="s">
        <v>131</v>
      </c>
    </row>
    <row r="85" spans="1:10" x14ac:dyDescent="0.25">
      <c r="B85" t="s">
        <v>141</v>
      </c>
    </row>
    <row r="86" spans="1:10" x14ac:dyDescent="0.25">
      <c r="B86" t="s">
        <v>138</v>
      </c>
    </row>
    <row r="87" spans="1:10" x14ac:dyDescent="0.25">
      <c r="B87" t="s">
        <v>132</v>
      </c>
    </row>
    <row r="88" spans="1:10" x14ac:dyDescent="0.25">
      <c r="B88" t="s">
        <v>145</v>
      </c>
    </row>
    <row r="89" spans="1:10" x14ac:dyDescent="0.25">
      <c r="B89" t="s">
        <v>139</v>
      </c>
    </row>
    <row r="90" spans="1:10" x14ac:dyDescent="0.25">
      <c r="B90" t="s">
        <v>136</v>
      </c>
    </row>
    <row r="91" spans="1:10" x14ac:dyDescent="0.25">
      <c r="B91" t="s">
        <v>143</v>
      </c>
    </row>
    <row r="92" spans="1:10" x14ac:dyDescent="0.25">
      <c r="B92" t="s">
        <v>133</v>
      </c>
    </row>
    <row r="93" spans="1:10" x14ac:dyDescent="0.25">
      <c r="B93" t="s">
        <v>142</v>
      </c>
    </row>
    <row r="94" spans="1:10" x14ac:dyDescent="0.25">
      <c r="B94" t="s">
        <v>140</v>
      </c>
    </row>
    <row r="95" spans="1:10" s="14" customFormat="1" x14ac:dyDescent="0.25">
      <c r="A95" s="328"/>
    </row>
    <row r="96" spans="1:10" x14ac:dyDescent="0.25">
      <c r="A96" s="329" t="s">
        <v>157</v>
      </c>
      <c r="J96" s="14"/>
    </row>
    <row r="97" spans="1:10" x14ac:dyDescent="0.25">
      <c r="B97" t="s">
        <v>158</v>
      </c>
      <c r="J97" s="14"/>
    </row>
    <row r="98" spans="1:10" x14ac:dyDescent="0.25">
      <c r="B98" t="s">
        <v>159</v>
      </c>
      <c r="J98" s="14"/>
    </row>
    <row r="99" spans="1:10" x14ac:dyDescent="0.25">
      <c r="B99" t="s">
        <v>160</v>
      </c>
      <c r="J99" s="14"/>
    </row>
    <row r="100" spans="1:10" x14ac:dyDescent="0.25">
      <c r="J100" s="14"/>
    </row>
    <row r="101" spans="1:10" s="14" customFormat="1" x14ac:dyDescent="0.25">
      <c r="A101" s="328" t="s">
        <v>379</v>
      </c>
    </row>
    <row r="102" spans="1:10" x14ac:dyDescent="0.25">
      <c r="B102" t="s">
        <v>312</v>
      </c>
      <c r="J102" s="14"/>
    </row>
    <row r="103" spans="1:10" x14ac:dyDescent="0.25">
      <c r="B103" t="s">
        <v>166</v>
      </c>
      <c r="J103" s="14"/>
    </row>
    <row r="104" spans="1:10" x14ac:dyDescent="0.25">
      <c r="B104" t="s">
        <v>167</v>
      </c>
      <c r="J104" s="14"/>
    </row>
    <row r="105" spans="1:10" x14ac:dyDescent="0.25">
      <c r="J105" s="14"/>
    </row>
    <row r="106" spans="1:10" x14ac:dyDescent="0.25">
      <c r="A106" s="329" t="s">
        <v>305</v>
      </c>
    </row>
    <row r="107" spans="1:10" x14ac:dyDescent="0.25">
      <c r="B107" t="s">
        <v>294</v>
      </c>
    </row>
    <row r="108" spans="1:10" x14ac:dyDescent="0.25">
      <c r="B108" t="s">
        <v>295</v>
      </c>
    </row>
    <row r="109" spans="1:10" x14ac:dyDescent="0.25">
      <c r="B109" t="s">
        <v>296</v>
      </c>
    </row>
    <row r="111" spans="1:10" x14ac:dyDescent="0.25">
      <c r="A111" s="329" t="s">
        <v>380</v>
      </c>
    </row>
    <row r="112" spans="1:10" x14ac:dyDescent="0.25">
      <c r="B112" t="s">
        <v>381</v>
      </c>
    </row>
    <row r="113" spans="1:2" x14ac:dyDescent="0.25">
      <c r="B113" t="s">
        <v>383</v>
      </c>
    </row>
    <row r="114" spans="1:2" x14ac:dyDescent="0.25">
      <c r="B114" s="14" t="s">
        <v>382</v>
      </c>
    </row>
    <row r="116" spans="1:2" x14ac:dyDescent="0.25">
      <c r="A116" s="328" t="s">
        <v>388</v>
      </c>
    </row>
    <row r="117" spans="1:2" s="14" customFormat="1" x14ac:dyDescent="0.25">
      <c r="A117" s="328"/>
      <c r="B117" s="14" t="s">
        <v>416</v>
      </c>
    </row>
    <row r="118" spans="1:2" x14ac:dyDescent="0.25">
      <c r="B118" t="s">
        <v>409</v>
      </c>
    </row>
    <row r="119" spans="1:2" x14ac:dyDescent="0.25">
      <c r="B119" t="s">
        <v>410</v>
      </c>
    </row>
    <row r="120" spans="1:2" x14ac:dyDescent="0.25">
      <c r="B120" s="14" t="s">
        <v>411</v>
      </c>
    </row>
    <row r="121" spans="1:2" x14ac:dyDescent="0.25">
      <c r="B121" s="14" t="s">
        <v>412</v>
      </c>
    </row>
    <row r="122" spans="1:2" x14ac:dyDescent="0.25">
      <c r="B122" s="14" t="s">
        <v>413</v>
      </c>
    </row>
    <row r="123" spans="1:2" x14ac:dyDescent="0.25">
      <c r="B123" s="14" t="s">
        <v>414</v>
      </c>
    </row>
  </sheetData>
  <sortState ref="B62:B76">
    <sortCondition ref="B76"/>
  </sortState>
  <conditionalFormatting sqref="A19 A56 A61 A77 A96 A106">
    <cfRule type="beginsWith" dxfId="14" priority="13" stopIfTrue="1" operator="beginsWith" text="Functioning At Risk">
      <formula>LEFT(A19,LEN("Functioning At Risk"))="Functioning At Risk"</formula>
    </cfRule>
    <cfRule type="beginsWith" dxfId="13" priority="14" stopIfTrue="1" operator="beginsWith" text="Not Functioning">
      <formula>LEFT(A19,LEN("Not Functioning"))="Not Functioning"</formula>
    </cfRule>
    <cfRule type="containsText" dxfId="12" priority="15" operator="containsText" text="Functioning">
      <formula>NOT(ISERROR(SEARCH("Functioning",A19)))</formula>
    </cfRule>
  </conditionalFormatting>
  <conditionalFormatting sqref="A1">
    <cfRule type="beginsWith" dxfId="11" priority="10" stopIfTrue="1" operator="beginsWith" text="Functioning At Risk">
      <formula>LEFT(A1,LEN("Functioning At Risk"))="Functioning At Risk"</formula>
    </cfRule>
    <cfRule type="beginsWith" dxfId="10" priority="11" stopIfTrue="1" operator="beginsWith" text="Not Functioning">
      <formula>LEFT(A1,LEN("Not Functioning"))="Not Functioning"</formula>
    </cfRule>
    <cfRule type="containsText" dxfId="9" priority="12" operator="containsText" text="Functioning">
      <formula>NOT(ISERROR(SEARCH("Functioning",A1)))</formula>
    </cfRule>
  </conditionalFormatting>
  <conditionalFormatting sqref="A11">
    <cfRule type="beginsWith" dxfId="8" priority="7" stopIfTrue="1" operator="beginsWith" text="Functioning At Risk">
      <formula>LEFT(A11,LEN("Functioning At Risk"))="Functioning At Risk"</formula>
    </cfRule>
    <cfRule type="beginsWith" dxfId="7" priority="8" stopIfTrue="1" operator="beginsWith" text="Not Functioning">
      <formula>LEFT(A11,LEN("Not Functioning"))="Not Functioning"</formula>
    </cfRule>
    <cfRule type="containsText" dxfId="6" priority="9" operator="containsText" text="Functioning">
      <formula>NOT(ISERROR(SEARCH("Functioning",A11)))</formula>
    </cfRule>
  </conditionalFormatting>
  <conditionalFormatting sqref="A15">
    <cfRule type="beginsWith" dxfId="5" priority="4" stopIfTrue="1" operator="beginsWith" text="Functioning At Risk">
      <formula>LEFT(A15,LEN("Functioning At Risk"))="Functioning At Risk"</formula>
    </cfRule>
    <cfRule type="beginsWith" dxfId="4" priority="5" stopIfTrue="1" operator="beginsWith" text="Not Functioning">
      <formula>LEFT(A15,LEN("Not Functioning"))="Not Functioning"</formula>
    </cfRule>
    <cfRule type="containsText" dxfId="3" priority="6" operator="containsText" text="Functioning">
      <formula>NOT(ISERROR(SEARCH("Functioning",A15)))</formula>
    </cfRule>
  </conditionalFormatting>
  <conditionalFormatting sqref="A111">
    <cfRule type="beginsWith" dxfId="2" priority="1" stopIfTrue="1" operator="beginsWith" text="Functioning At Risk">
      <formula>LEFT(A111,LEN("Functioning At Risk"))="Functioning At Risk"</formula>
    </cfRule>
    <cfRule type="beginsWith" dxfId="1" priority="2" stopIfTrue="1" operator="beginsWith" text="Not Functioning">
      <formula>LEFT(A111,LEN("Not Functioning"))="Not Functioning"</formula>
    </cfRule>
    <cfRule type="containsText" dxfId="0" priority="3" operator="containsText" text="Functioning">
      <formula>NOT(ISERROR(SEARCH("Functioning",A111)))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6591DBEAE7E04AA8080E91E0701A9E" ma:contentTypeVersion="0" ma:contentTypeDescription="Create a new document." ma:contentTypeScope="" ma:versionID="b270ae3cee3e21d7d84ff77350a280a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22285E-FDEA-46F4-9AA6-955C6FFDB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143238-A118-4B16-A64B-F17DFA90AAF4}">
  <ds:schemaRefs>
    <ds:schemaRef ds:uri="http://schemas.microsoft.com/sharepoint/v3/contenttype/forms"/>
  </ds:schemaRefs>
</ds:datastoreItem>
</file>

<file path=customXml/itemProps3.xml><?xml version="1.0" encoding="utf-8"?>
<ds:datastoreItem xmlns:ds="http://schemas.openxmlformats.org/officeDocument/2006/customXml" ds:itemID="{FB9BD2F3-BFC1-4C24-8AD1-CAD495D565F7}">
  <ds:schemaRefs>
    <ds:schemaRef ds:uri="http://purl.org/dc/dcmitype/"/>
    <ds:schemaRef ds:uri="http://schemas.microsoft.com/office/2006/documentManagement/types"/>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Project Assessment</vt:lpstr>
      <vt:lpstr>Catchment Assessment</vt:lpstr>
      <vt:lpstr>Parameter Selection Guide</vt:lpstr>
      <vt:lpstr>Quantification Tool</vt:lpstr>
      <vt:lpstr>Functional Loss Tool</vt:lpstr>
      <vt:lpstr>Performance Standards</vt:lpstr>
      <vt:lpstr>Monitoring Data</vt:lpstr>
      <vt:lpstr>Data Summary</vt:lpstr>
      <vt:lpstr>Pull Down Notes</vt:lpstr>
      <vt:lpstr>BedMaterial</vt:lpstr>
      <vt:lpstr>BEHI.NBS</vt:lpstr>
      <vt:lpstr>CatchmentAssessment</vt:lpstr>
      <vt:lpstr>DrainageArea</vt:lpstr>
      <vt:lpstr>Flow.Type</vt:lpstr>
      <vt:lpstr>Level</vt:lpstr>
      <vt:lpstr>'Functional Loss Tool'!Print_Area</vt:lpstr>
      <vt:lpstr>'Monitoring Data'!Print_Area</vt:lpstr>
      <vt:lpstr>'Project Assessment'!Print_Area</vt:lpstr>
      <vt:lpstr>'Quantification Tool'!Print_Area</vt:lpstr>
      <vt:lpstr>ProgramGoals</vt:lpstr>
      <vt:lpstr>Region</vt:lpstr>
      <vt:lpstr>RiverBasins</vt:lpstr>
      <vt:lpstr>StreamType</vt:lpstr>
      <vt:lpstr>WaterTypes</vt:lpstr>
      <vt:lpstr>Yes.No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Paxton Ramsdell</cp:lastModifiedBy>
  <cp:lastPrinted>2017-09-17T19:10:52Z</cp:lastPrinted>
  <dcterms:created xsi:type="dcterms:W3CDTF">2014-08-22T20:36:47Z</dcterms:created>
  <dcterms:modified xsi:type="dcterms:W3CDTF">2018-04-17T19:22:19Z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0x010100966591DBEAE7E04AA8080E91E0701A9E</vt:lpwstr>
  </property>
</Properties>
</file>